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y Drive\Google Drive\Others\Personal Web\Excel Templates\"/>
    </mc:Choice>
  </mc:AlternateContent>
  <xr:revisionPtr revIDLastSave="0" documentId="8_{275EE781-FA23-4C2A-8217-89620CF62E6A}" xr6:coauthVersionLast="47" xr6:coauthVersionMax="47" xr10:uidLastSave="{00000000-0000-0000-0000-000000000000}"/>
  <bookViews>
    <workbookView xWindow="15" yWindow="15" windowWidth="28770" windowHeight="15450" tabRatio="625" xr2:uid="{00000000-000D-0000-FFFF-FFFF00000000}"/>
  </bookViews>
  <sheets>
    <sheet name="Instructions" sheetId="1" r:id="rId1"/>
    <sheet name="Drivers" sheetId="2" r:id="rId2"/>
    <sheet name="Strategic Scenarios" sheetId="3" r:id="rId3"/>
    <sheet name="Backlog &amp; Orders" sheetId="4" r:id="rId4"/>
    <sheet name="Forecast P&amp;L" sheetId="5" r:id="rId5"/>
    <sheet name="Cash Flow" sheetId="6" r:id="rId6"/>
    <sheet name="2-Way Sensitivity" sheetId="7" r:id="rId7"/>
    <sheet name="Dashboard" sheetId="8" r:id="rId8"/>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 l="1"/>
  <c r="H33" i="7"/>
  <c r="G33" i="7"/>
  <c r="F33" i="7"/>
  <c r="E33" i="7"/>
  <c r="D33" i="7"/>
  <c r="C33" i="7"/>
  <c r="H32" i="7"/>
  <c r="G32" i="7"/>
  <c r="F32" i="7"/>
  <c r="E32" i="7"/>
  <c r="D32" i="7"/>
  <c r="C32" i="7"/>
  <c r="H31" i="7"/>
  <c r="G31" i="7"/>
  <c r="F31" i="7"/>
  <c r="E31" i="7"/>
  <c r="D31" i="7"/>
  <c r="C31" i="7"/>
  <c r="H30" i="7"/>
  <c r="G30" i="7"/>
  <c r="F30" i="7"/>
  <c r="E30" i="7"/>
  <c r="D30" i="7"/>
  <c r="C30" i="7"/>
  <c r="H29" i="7"/>
  <c r="G29" i="7"/>
  <c r="F29" i="7"/>
  <c r="E29" i="7"/>
  <c r="D29" i="7"/>
  <c r="C29" i="7"/>
  <c r="G28" i="7"/>
  <c r="F28" i="7"/>
  <c r="E28" i="7"/>
  <c r="D28" i="7"/>
  <c r="C28" i="7"/>
  <c r="H23" i="7"/>
  <c r="G23" i="7"/>
  <c r="F23" i="7"/>
  <c r="E23" i="7"/>
  <c r="D23" i="7"/>
  <c r="C23" i="7"/>
  <c r="H22" i="7"/>
  <c r="G22" i="7"/>
  <c r="F22" i="7"/>
  <c r="E22" i="7"/>
  <c r="D22" i="7"/>
  <c r="C22" i="7"/>
  <c r="H21" i="7"/>
  <c r="G21" i="7"/>
  <c r="F21" i="7"/>
  <c r="E21" i="7"/>
  <c r="D21" i="7"/>
  <c r="C21" i="7"/>
  <c r="H20" i="7"/>
  <c r="G20" i="7"/>
  <c r="F20" i="7"/>
  <c r="E20" i="7"/>
  <c r="D20" i="7"/>
  <c r="C20" i="7"/>
  <c r="H19" i="7"/>
  <c r="G19" i="7"/>
  <c r="F19" i="7"/>
  <c r="E19" i="7"/>
  <c r="D19" i="7"/>
  <c r="C19" i="7"/>
  <c r="H18" i="7"/>
  <c r="G18" i="7"/>
  <c r="F18" i="7"/>
  <c r="E18" i="7"/>
  <c r="D18" i="7"/>
  <c r="C18" i="7"/>
  <c r="H13" i="7"/>
  <c r="G13" i="7"/>
  <c r="F13" i="7"/>
  <c r="E13" i="7"/>
  <c r="D13" i="7"/>
  <c r="C13" i="7"/>
  <c r="H12" i="7"/>
  <c r="G12" i="7"/>
  <c r="F12" i="7"/>
  <c r="E12" i="7"/>
  <c r="D12" i="7"/>
  <c r="C12" i="7"/>
  <c r="H11" i="7"/>
  <c r="G11" i="7"/>
  <c r="F11" i="7"/>
  <c r="E11" i="7"/>
  <c r="D11" i="7"/>
  <c r="C11" i="7"/>
  <c r="H10" i="7"/>
  <c r="G10" i="7"/>
  <c r="F10" i="7"/>
  <c r="E10" i="7"/>
  <c r="D10" i="7"/>
  <c r="C10" i="7"/>
  <c r="H9" i="7"/>
  <c r="G9" i="7"/>
  <c r="F9" i="7"/>
  <c r="E9" i="7"/>
  <c r="D9" i="7"/>
  <c r="C9" i="7"/>
  <c r="H8" i="7"/>
  <c r="G8" i="7"/>
  <c r="F8" i="7"/>
  <c r="E8" i="7"/>
  <c r="D8" i="7"/>
  <c r="C8" i="7"/>
  <c r="C59" i="2"/>
  <c r="C58" i="2"/>
  <c r="H27" i="5" s="1"/>
  <c r="C57" i="2"/>
  <c r="D20" i="5" s="1"/>
  <c r="D21" i="5" s="1"/>
  <c r="C56" i="2"/>
  <c r="C55" i="2"/>
  <c r="C54" i="2"/>
  <c r="C53" i="2"/>
  <c r="C52" i="2"/>
  <c r="C51" i="2"/>
  <c r="C50" i="2"/>
  <c r="H13" i="5" s="1"/>
  <c r="C49" i="2"/>
  <c r="C48" i="2"/>
  <c r="C47" i="2"/>
  <c r="C46" i="2"/>
  <c r="C45" i="2"/>
  <c r="C44" i="2"/>
  <c r="F14" i="4" s="1"/>
  <c r="C43" i="2"/>
  <c r="C13" i="4" s="1"/>
  <c r="C42" i="2"/>
  <c r="C41" i="2"/>
  <c r="C40" i="2"/>
  <c r="I7" i="4" s="1"/>
  <c r="C39" i="2"/>
  <c r="C6" i="4" s="1"/>
  <c r="D5" i="2"/>
  <c r="R13" i="5" l="1"/>
  <c r="L14" i="4"/>
  <c r="C14" i="4"/>
  <c r="S14" i="4"/>
  <c r="C15" i="4"/>
  <c r="C16" i="4"/>
  <c r="U7" i="4"/>
  <c r="M7" i="4"/>
  <c r="E7" i="4"/>
  <c r="S7" i="4"/>
  <c r="K7" i="4"/>
  <c r="C7" i="4"/>
  <c r="Z7" i="4"/>
  <c r="R7" i="4"/>
  <c r="J7" i="4"/>
  <c r="W7" i="4"/>
  <c r="U20" i="5"/>
  <c r="U21" i="5" s="1"/>
  <c r="M20" i="5"/>
  <c r="M21" i="5" s="1"/>
  <c r="E20" i="5"/>
  <c r="E21" i="5" s="1"/>
  <c r="S20" i="5"/>
  <c r="S21" i="5" s="1"/>
  <c r="K20" i="5"/>
  <c r="K21" i="5" s="1"/>
  <c r="C20" i="5"/>
  <c r="Z20" i="5"/>
  <c r="Z21" i="5" s="1"/>
  <c r="R20" i="5"/>
  <c r="R21" i="5" s="1"/>
  <c r="J20" i="5"/>
  <c r="J21" i="5" s="1"/>
  <c r="Y20" i="5"/>
  <c r="Y21" i="5" s="1"/>
  <c r="Q20" i="5"/>
  <c r="Q21" i="5" s="1"/>
  <c r="X20" i="5"/>
  <c r="X21" i="5" s="1"/>
  <c r="P20" i="5"/>
  <c r="P21" i="5" s="1"/>
  <c r="H20" i="5"/>
  <c r="H21" i="5" s="1"/>
  <c r="O20" i="5"/>
  <c r="O21" i="5" s="1"/>
  <c r="L20" i="5"/>
  <c r="L21" i="5" s="1"/>
  <c r="I20" i="5"/>
  <c r="I21" i="5" s="1"/>
  <c r="G20" i="5"/>
  <c r="G21" i="5" s="1"/>
  <c r="W20" i="5"/>
  <c r="W21" i="5" s="1"/>
  <c r="F20" i="5"/>
  <c r="F21" i="5" s="1"/>
  <c r="T20" i="5"/>
  <c r="T21" i="5" s="1"/>
  <c r="L7" i="4"/>
  <c r="X7" i="4"/>
  <c r="M14" i="4"/>
  <c r="N20" i="5"/>
  <c r="N21" i="5" s="1"/>
  <c r="Y13" i="5"/>
  <c r="Q13" i="5"/>
  <c r="I13" i="5"/>
  <c r="W13" i="5"/>
  <c r="O13" i="5"/>
  <c r="G13" i="5"/>
  <c r="V13" i="5"/>
  <c r="N13" i="5"/>
  <c r="F13" i="5"/>
  <c r="T13" i="5"/>
  <c r="L13" i="5"/>
  <c r="D13" i="5"/>
  <c r="S13" i="5"/>
  <c r="C13" i="5"/>
  <c r="P13" i="5"/>
  <c r="M13" i="5"/>
  <c r="K13" i="5"/>
  <c r="Z13" i="5"/>
  <c r="J13" i="5"/>
  <c r="U13" i="5"/>
  <c r="E13" i="5"/>
  <c r="Y27" i="5"/>
  <c r="Q27" i="5"/>
  <c r="I27" i="5"/>
  <c r="W27" i="5"/>
  <c r="O27" i="5"/>
  <c r="G27" i="5"/>
  <c r="V27" i="5"/>
  <c r="N27" i="5"/>
  <c r="F27" i="5"/>
  <c r="U27" i="5"/>
  <c r="M27" i="5"/>
  <c r="E27" i="5"/>
  <c r="T27" i="5"/>
  <c r="L27" i="5"/>
  <c r="D27" i="5"/>
  <c r="X27" i="5"/>
  <c r="S27" i="5"/>
  <c r="R27" i="5"/>
  <c r="P27" i="5"/>
  <c r="K27" i="5"/>
  <c r="J27" i="5"/>
  <c r="Z27" i="5"/>
  <c r="C27" i="5"/>
  <c r="N7" i="4"/>
  <c r="Y7" i="4"/>
  <c r="N14" i="4"/>
  <c r="V20" i="5"/>
  <c r="V21" i="5" s="1"/>
  <c r="C8" i="4"/>
  <c r="C9" i="4" s="1"/>
  <c r="P7" i="4"/>
  <c r="D14" i="4"/>
  <c r="U14" i="4"/>
  <c r="O7" i="4"/>
  <c r="D7" i="4"/>
  <c r="Q7" i="4"/>
  <c r="V14" i="4"/>
  <c r="B2" i="5"/>
  <c r="B2" i="8"/>
  <c r="G7" i="4"/>
  <c r="T7" i="4"/>
  <c r="X13" i="5"/>
  <c r="T14" i="4"/>
  <c r="Z14" i="4"/>
  <c r="R14" i="4"/>
  <c r="J14" i="4"/>
  <c r="Y14" i="4"/>
  <c r="Q14" i="4"/>
  <c r="I14" i="4"/>
  <c r="I21" i="4" s="1"/>
  <c r="X14" i="4"/>
  <c r="P14" i="4"/>
  <c r="H14" i="4"/>
  <c r="W14" i="4"/>
  <c r="O14" i="4"/>
  <c r="G14" i="4"/>
  <c r="F7" i="4"/>
  <c r="F21" i="4" s="1"/>
  <c r="E14" i="4"/>
  <c r="H7" i="4"/>
  <c r="V7" i="4"/>
  <c r="K14" i="4"/>
  <c r="L21" i="4" l="1"/>
  <c r="Z21" i="4"/>
  <c r="G21" i="4"/>
  <c r="K21" i="4"/>
  <c r="C17" i="4"/>
  <c r="C10" i="6" s="1"/>
  <c r="P21" i="4"/>
  <c r="S21" i="4"/>
  <c r="AA27" i="5"/>
  <c r="AA14" i="4"/>
  <c r="C6" i="5"/>
  <c r="C20" i="4"/>
  <c r="Q21" i="4"/>
  <c r="E21" i="4"/>
  <c r="D21" i="4"/>
  <c r="W21" i="4"/>
  <c r="H21" i="4"/>
  <c r="Y21" i="4"/>
  <c r="X21" i="4"/>
  <c r="J21" i="4"/>
  <c r="U21" i="4"/>
  <c r="C7" i="5"/>
  <c r="C22" i="4"/>
  <c r="V21" i="4"/>
  <c r="M21" i="4"/>
  <c r="O21" i="4"/>
  <c r="AA13" i="5"/>
  <c r="T21" i="4"/>
  <c r="N21" i="4"/>
  <c r="AA20" i="5"/>
  <c r="C21" i="5"/>
  <c r="AA21" i="5" s="1"/>
  <c r="R21" i="4"/>
  <c r="AA7" i="4"/>
  <c r="C21" i="4"/>
  <c r="C10" i="4"/>
  <c r="D13" i="4" l="1"/>
  <c r="D15" i="4" s="1"/>
  <c r="C20" i="8"/>
  <c r="C24" i="4"/>
  <c r="AA21" i="4"/>
  <c r="C23" i="4"/>
  <c r="C25" i="4" s="1"/>
  <c r="D6" i="4"/>
  <c r="C8" i="5"/>
  <c r="D16" i="4" l="1"/>
  <c r="D7" i="5" s="1"/>
  <c r="D8" i="4"/>
  <c r="C7" i="6"/>
  <c r="C11" i="5"/>
  <c r="C12" i="5"/>
  <c r="D17" i="4" l="1"/>
  <c r="D22" i="4"/>
  <c r="D9" i="4"/>
  <c r="C14" i="5"/>
  <c r="C9" i="6"/>
  <c r="C8" i="6"/>
  <c r="D10" i="6" l="1"/>
  <c r="D15" i="6" s="1"/>
  <c r="E13" i="4"/>
  <c r="E15" i="4" s="1"/>
  <c r="E16" i="4" s="1"/>
  <c r="E17" i="4" s="1"/>
  <c r="D20" i="4"/>
  <c r="D6" i="5"/>
  <c r="C16" i="5"/>
  <c r="D10" i="4"/>
  <c r="E10" i="6" l="1"/>
  <c r="F13" i="4"/>
  <c r="C23" i="5"/>
  <c r="C17" i="5"/>
  <c r="D23" i="4"/>
  <c r="D25" i="4" s="1"/>
  <c r="E6" i="4"/>
  <c r="D24" i="4"/>
  <c r="E7" i="5"/>
  <c r="D8" i="5"/>
  <c r="E15" i="6" l="1"/>
  <c r="E8" i="4"/>
  <c r="E9" i="4" s="1"/>
  <c r="D12" i="5"/>
  <c r="D7" i="6"/>
  <c r="D11" i="5"/>
  <c r="C28" i="5"/>
  <c r="C24" i="5"/>
  <c r="F15" i="4"/>
  <c r="F16" i="4" s="1"/>
  <c r="F7" i="5" l="1"/>
  <c r="E6" i="5"/>
  <c r="E20" i="4"/>
  <c r="D12" i="6"/>
  <c r="E22" i="4"/>
  <c r="E10" i="4"/>
  <c r="C29" i="5"/>
  <c r="F17" i="4"/>
  <c r="D9" i="6"/>
  <c r="D14" i="5"/>
  <c r="D8" i="6"/>
  <c r="F10" i="6" l="1"/>
  <c r="G13" i="4"/>
  <c r="E24" i="4"/>
  <c r="E23" i="4"/>
  <c r="E25" i="4" s="1"/>
  <c r="F6" i="4"/>
  <c r="E8" i="5"/>
  <c r="D13" i="6"/>
  <c r="D16" i="5"/>
  <c r="C30" i="5"/>
  <c r="D14" i="6"/>
  <c r="D17" i="5" l="1"/>
  <c r="D23" i="5"/>
  <c r="G15" i="4"/>
  <c r="G16" i="4" s="1"/>
  <c r="F15" i="6"/>
  <c r="E12" i="5"/>
  <c r="E11" i="5"/>
  <c r="E7" i="6"/>
  <c r="F8" i="4"/>
  <c r="F9" i="4" s="1"/>
  <c r="C31" i="5"/>
  <c r="C6" i="6"/>
  <c r="G7" i="5" l="1"/>
  <c r="C17" i="6"/>
  <c r="E14" i="5"/>
  <c r="E9" i="6"/>
  <c r="E8" i="6"/>
  <c r="G17" i="4"/>
  <c r="F22" i="4"/>
  <c r="E12" i="6"/>
  <c r="F20" i="4"/>
  <c r="F6" i="5"/>
  <c r="F10" i="4"/>
  <c r="D28" i="5"/>
  <c r="D24" i="5"/>
  <c r="F24" i="4" l="1"/>
  <c r="E14" i="6"/>
  <c r="D29" i="5"/>
  <c r="D30" i="5" s="1"/>
  <c r="C19" i="6"/>
  <c r="F23" i="4"/>
  <c r="F25" i="4" s="1"/>
  <c r="G6" i="4"/>
  <c r="G10" i="6"/>
  <c r="G15" i="6" s="1"/>
  <c r="H13" i="4"/>
  <c r="E16" i="5"/>
  <c r="F8" i="5"/>
  <c r="E13" i="6"/>
  <c r="D6" i="6" l="1"/>
  <c r="D31" i="5"/>
  <c r="G8" i="4"/>
  <c r="E17" i="5"/>
  <c r="E23" i="5"/>
  <c r="F7" i="6"/>
  <c r="F11" i="5"/>
  <c r="F12" i="5"/>
  <c r="H15" i="4"/>
  <c r="H16" i="4" s="1"/>
  <c r="H7" i="5" s="1"/>
  <c r="G9" i="4" l="1"/>
  <c r="G22" i="4"/>
  <c r="F14" i="5"/>
  <c r="F9" i="6"/>
  <c r="F8" i="6"/>
  <c r="H17" i="4"/>
  <c r="F12" i="6"/>
  <c r="E28" i="5"/>
  <c r="E24" i="5"/>
  <c r="D17" i="6"/>
  <c r="E29" i="5" l="1"/>
  <c r="E30" i="5" s="1"/>
  <c r="F14" i="6"/>
  <c r="F16" i="5"/>
  <c r="F13" i="6"/>
  <c r="D19" i="6"/>
  <c r="G20" i="4"/>
  <c r="G24" i="4" s="1"/>
  <c r="G6" i="5"/>
  <c r="H10" i="6"/>
  <c r="H15" i="6" s="1"/>
  <c r="I13" i="4"/>
  <c r="G10" i="4"/>
  <c r="E31" i="5" l="1"/>
  <c r="E6" i="6"/>
  <c r="F17" i="5"/>
  <c r="F23" i="5"/>
  <c r="H6" i="4"/>
  <c r="G23" i="4"/>
  <c r="G25" i="4" s="1"/>
  <c r="I15" i="4"/>
  <c r="I16" i="4" s="1"/>
  <c r="G8" i="5"/>
  <c r="I7" i="5" l="1"/>
  <c r="I17" i="4"/>
  <c r="F28" i="5"/>
  <c r="F24" i="5"/>
  <c r="H8" i="4"/>
  <c r="H22" i="4" s="1"/>
  <c r="G12" i="5"/>
  <c r="G7" i="6"/>
  <c r="G12" i="6" s="1"/>
  <c r="G11" i="5"/>
  <c r="E17" i="6"/>
  <c r="H9" i="4" l="1"/>
  <c r="H6" i="5" s="1"/>
  <c r="H8" i="5" s="1"/>
  <c r="G9" i="6"/>
  <c r="G14" i="6" s="1"/>
  <c r="G8" i="6"/>
  <c r="G13" i="6" s="1"/>
  <c r="G14" i="5"/>
  <c r="F29" i="5"/>
  <c r="F30" i="5" s="1"/>
  <c r="E19" i="6"/>
  <c r="I10" i="6"/>
  <c r="I15" i="6" s="1"/>
  <c r="J13" i="4"/>
  <c r="H10" i="4" l="1"/>
  <c r="I6" i="4" s="1"/>
  <c r="H20" i="4"/>
  <c r="H24" i="4" s="1"/>
  <c r="F31" i="5"/>
  <c r="F6" i="6"/>
  <c r="G16" i="5"/>
  <c r="J15" i="4"/>
  <c r="J16" i="4" s="1"/>
  <c r="J7" i="5" s="1"/>
  <c r="H12" i="5"/>
  <c r="H7" i="6"/>
  <c r="H12" i="6" s="1"/>
  <c r="H11" i="5"/>
  <c r="H23" i="4" l="1"/>
  <c r="H25" i="4" s="1"/>
  <c r="J17" i="4"/>
  <c r="I8" i="4"/>
  <c r="I22" i="4" s="1"/>
  <c r="G23" i="5"/>
  <c r="G17" i="5"/>
  <c r="F17" i="6"/>
  <c r="H14" i="5"/>
  <c r="H16" i="5" s="1"/>
  <c r="H8" i="6"/>
  <c r="H13" i="6" s="1"/>
  <c r="H9" i="6"/>
  <c r="H14" i="6" s="1"/>
  <c r="G24" i="5" l="1"/>
  <c r="G28" i="5"/>
  <c r="I9" i="4"/>
  <c r="I10" i="4" s="1"/>
  <c r="H23" i="5"/>
  <c r="H17" i="5"/>
  <c r="F19" i="6"/>
  <c r="J10" i="6"/>
  <c r="J15" i="6" s="1"/>
  <c r="K13" i="4"/>
  <c r="K15" i="4" l="1"/>
  <c r="K16" i="4" s="1"/>
  <c r="K7" i="5" s="1"/>
  <c r="I23" i="4"/>
  <c r="J6" i="4"/>
  <c r="I20" i="4"/>
  <c r="I24" i="4" s="1"/>
  <c r="I6" i="5"/>
  <c r="I8" i="5" s="1"/>
  <c r="G29" i="5"/>
  <c r="G30" i="5" s="1"/>
  <c r="H28" i="5"/>
  <c r="H24" i="5"/>
  <c r="K17" i="4" l="1"/>
  <c r="K10" i="6" s="1"/>
  <c r="K15" i="6" s="1"/>
  <c r="G6" i="6"/>
  <c r="G31" i="5"/>
  <c r="I7" i="6"/>
  <c r="I12" i="6" s="1"/>
  <c r="I11" i="5"/>
  <c r="I12" i="5"/>
  <c r="J8" i="4"/>
  <c r="J22" i="4" s="1"/>
  <c r="I25" i="4"/>
  <c r="H29" i="5"/>
  <c r="H30" i="5" s="1"/>
  <c r="L13" i="4" l="1"/>
  <c r="L15" i="4" s="1"/>
  <c r="L16" i="4" s="1"/>
  <c r="J9" i="4"/>
  <c r="J10" i="4" s="1"/>
  <c r="I9" i="6"/>
  <c r="I14" i="6" s="1"/>
  <c r="I8" i="6"/>
  <c r="I13" i="6" s="1"/>
  <c r="I14" i="5"/>
  <c r="I16" i="5" s="1"/>
  <c r="H6" i="6"/>
  <c r="H17" i="6" s="1"/>
  <c r="H31" i="5"/>
  <c r="G17" i="6"/>
  <c r="L7" i="5" l="1"/>
  <c r="L17" i="4"/>
  <c r="J23" i="4"/>
  <c r="K6" i="4"/>
  <c r="I23" i="5"/>
  <c r="I17" i="5"/>
  <c r="G19" i="6"/>
  <c r="J6" i="5"/>
  <c r="J8" i="5" s="1"/>
  <c r="J20" i="4"/>
  <c r="J24" i="4" s="1"/>
  <c r="I28" i="5" l="1"/>
  <c r="I24" i="5"/>
  <c r="K8" i="4"/>
  <c r="K22" i="4" s="1"/>
  <c r="J25" i="4"/>
  <c r="J12" i="5"/>
  <c r="J7" i="6"/>
  <c r="J12" i="6" s="1"/>
  <c r="J11" i="5"/>
  <c r="L10" i="6"/>
  <c r="L15" i="6" s="1"/>
  <c r="M13" i="4"/>
  <c r="H19" i="6"/>
  <c r="M15" i="4" l="1"/>
  <c r="K9" i="4"/>
  <c r="K10" i="4" s="1"/>
  <c r="J8" i="6"/>
  <c r="J13" i="6" s="1"/>
  <c r="J14" i="5"/>
  <c r="J16" i="5" s="1"/>
  <c r="J9" i="6"/>
  <c r="J14" i="6" s="1"/>
  <c r="I29" i="5"/>
  <c r="I30" i="5" s="1"/>
  <c r="K23" i="4" l="1"/>
  <c r="L6" i="4"/>
  <c r="I6" i="6"/>
  <c r="I17" i="6" s="1"/>
  <c r="I19" i="6" s="1"/>
  <c r="I31" i="5"/>
  <c r="J23" i="5"/>
  <c r="J17" i="5"/>
  <c r="M16" i="4"/>
  <c r="M7" i="5" s="1"/>
  <c r="K6" i="5"/>
  <c r="K8" i="5" s="1"/>
  <c r="K20" i="4"/>
  <c r="K24" i="4" s="1"/>
  <c r="K25" i="4" l="1"/>
  <c r="M17" i="4"/>
  <c r="J24" i="5"/>
  <c r="J28" i="5"/>
  <c r="L8" i="4"/>
  <c r="L22" i="4" s="1"/>
  <c r="L9" i="4"/>
  <c r="L10" i="4" s="1"/>
  <c r="K7" i="6"/>
  <c r="K12" i="6" s="1"/>
  <c r="K11" i="5"/>
  <c r="K12" i="5"/>
  <c r="L20" i="4" l="1"/>
  <c r="L24" i="4" s="1"/>
  <c r="L6" i="5"/>
  <c r="L8" i="5" s="1"/>
  <c r="L23" i="4"/>
  <c r="M6" i="4"/>
  <c r="J29" i="5"/>
  <c r="J30" i="5" s="1"/>
  <c r="K14" i="5"/>
  <c r="K16" i="5" s="1"/>
  <c r="K9" i="6"/>
  <c r="K14" i="6" s="1"/>
  <c r="K8" i="6"/>
  <c r="K13" i="6" s="1"/>
  <c r="M10" i="6"/>
  <c r="M15" i="6" s="1"/>
  <c r="N13" i="4"/>
  <c r="L25" i="4" l="1"/>
  <c r="J6" i="6"/>
  <c r="J17" i="6" s="1"/>
  <c r="J19" i="6" s="1"/>
  <c r="J31" i="5"/>
  <c r="M8" i="4"/>
  <c r="M22" i="4" s="1"/>
  <c r="N15" i="4"/>
  <c r="N16" i="4" s="1"/>
  <c r="N7" i="5" s="1"/>
  <c r="L12" i="5"/>
  <c r="L7" i="6"/>
  <c r="L12" i="6" s="1"/>
  <c r="L11" i="5"/>
  <c r="K23" i="5"/>
  <c r="K17" i="5"/>
  <c r="K28" i="5" l="1"/>
  <c r="K24" i="5"/>
  <c r="L9" i="6"/>
  <c r="L14" i="6" s="1"/>
  <c r="L8" i="6"/>
  <c r="L13" i="6" s="1"/>
  <c r="L14" i="5"/>
  <c r="L16" i="5" s="1"/>
  <c r="M9" i="4"/>
  <c r="N17" i="4"/>
  <c r="M6" i="5" l="1"/>
  <c r="M8" i="5" s="1"/>
  <c r="M20" i="4"/>
  <c r="M24" i="4" s="1"/>
  <c r="M10" i="4"/>
  <c r="L17" i="5"/>
  <c r="L23" i="5"/>
  <c r="N10" i="6"/>
  <c r="N15" i="6" s="1"/>
  <c r="O13" i="4"/>
  <c r="K29" i="5"/>
  <c r="K30" i="5" s="1"/>
  <c r="O15" i="4" l="1"/>
  <c r="K31" i="5"/>
  <c r="K6" i="6"/>
  <c r="K17" i="6" s="1"/>
  <c r="K19" i="6" s="1"/>
  <c r="L28" i="5"/>
  <c r="L24" i="5"/>
  <c r="N6" i="4"/>
  <c r="M23" i="4"/>
  <c r="M25" i="4" s="1"/>
  <c r="M12" i="5"/>
  <c r="M7" i="6"/>
  <c r="M12" i="6" s="1"/>
  <c r="M11" i="5"/>
  <c r="N8" i="4" l="1"/>
  <c r="N22" i="4" s="1"/>
  <c r="C21" i="8" s="1"/>
  <c r="C22" i="8" s="1"/>
  <c r="L29" i="5"/>
  <c r="L30" i="5" s="1"/>
  <c r="M14" i="5"/>
  <c r="M16" i="5" s="1"/>
  <c r="M9" i="6"/>
  <c r="M14" i="6" s="1"/>
  <c r="M8" i="6"/>
  <c r="M13" i="6" s="1"/>
  <c r="O16" i="4"/>
  <c r="O7" i="5" s="1"/>
  <c r="L6" i="6" l="1"/>
  <c r="L17" i="6" s="1"/>
  <c r="L19" i="6" s="1"/>
  <c r="L31" i="5"/>
  <c r="M23" i="5"/>
  <c r="M17" i="5"/>
  <c r="N9" i="4"/>
  <c r="N10" i="4" s="1"/>
  <c r="O17" i="4"/>
  <c r="N23" i="4" l="1"/>
  <c r="O6" i="4"/>
  <c r="P13" i="4"/>
  <c r="O10" i="6"/>
  <c r="O15" i="6" s="1"/>
  <c r="M28" i="5"/>
  <c r="M24" i="5"/>
  <c r="N20" i="4"/>
  <c r="N24" i="4" s="1"/>
  <c r="C19" i="8" s="1"/>
  <c r="N6" i="5"/>
  <c r="N8" i="5" s="1"/>
  <c r="N7" i="6" l="1"/>
  <c r="N12" i="6" s="1"/>
  <c r="N11" i="5"/>
  <c r="N12" i="5"/>
  <c r="C6" i="8"/>
  <c r="M29" i="5"/>
  <c r="M30" i="5" s="1"/>
  <c r="P15" i="4"/>
  <c r="P16" i="4" s="1"/>
  <c r="P7" i="5" s="1"/>
  <c r="O8" i="4"/>
  <c r="O22" i="4" s="1"/>
  <c r="N25" i="4"/>
  <c r="C18" i="8" s="1"/>
  <c r="C17" i="8"/>
  <c r="M31" i="5" l="1"/>
  <c r="M6" i="6"/>
  <c r="M17" i="6" s="1"/>
  <c r="M19" i="6" s="1"/>
  <c r="O9" i="4"/>
  <c r="P17" i="4"/>
  <c r="N14" i="5"/>
  <c r="N16" i="5" s="1"/>
  <c r="N9" i="6"/>
  <c r="N14" i="6" s="1"/>
  <c r="N8" i="6"/>
  <c r="N13" i="6" s="1"/>
  <c r="O10" i="4"/>
  <c r="O23" i="4" l="1"/>
  <c r="P6" i="4"/>
  <c r="N17" i="5"/>
  <c r="N23" i="5"/>
  <c r="C7" i="8"/>
  <c r="C8" i="8" s="1"/>
  <c r="P10" i="6"/>
  <c r="P15" i="6" s="1"/>
  <c r="Q13" i="4"/>
  <c r="O20" i="4"/>
  <c r="O24" i="4" s="1"/>
  <c r="O6" i="5"/>
  <c r="O8" i="5" s="1"/>
  <c r="N28" i="5" l="1"/>
  <c r="N24" i="5"/>
  <c r="C9" i="8"/>
  <c r="C10" i="8" s="1"/>
  <c r="P8" i="4"/>
  <c r="P22" i="4" s="1"/>
  <c r="Q15" i="4"/>
  <c r="Q16" i="4" s="1"/>
  <c r="Q7" i="5" s="1"/>
  <c r="O12" i="5"/>
  <c r="O7" i="6"/>
  <c r="O12" i="6" s="1"/>
  <c r="O11" i="5"/>
  <c r="O25" i="4"/>
  <c r="Q17" i="4" l="1"/>
  <c r="O9" i="6"/>
  <c r="O14" i="6" s="1"/>
  <c r="O8" i="6"/>
  <c r="O13" i="6" s="1"/>
  <c r="O14" i="5"/>
  <c r="O16" i="5" s="1"/>
  <c r="P9" i="4"/>
  <c r="N29" i="5"/>
  <c r="N30" i="5" s="1"/>
  <c r="N6" i="6" l="1"/>
  <c r="N17" i="6" s="1"/>
  <c r="N31" i="5"/>
  <c r="C11" i="8"/>
  <c r="P6" i="5"/>
  <c r="P8" i="5" s="1"/>
  <c r="P20" i="4"/>
  <c r="P24" i="4" s="1"/>
  <c r="P10" i="4"/>
  <c r="O23" i="5"/>
  <c r="O17" i="5"/>
  <c r="R13" i="4"/>
  <c r="Q10" i="6"/>
  <c r="Q15" i="6" s="1"/>
  <c r="O24" i="5" l="1"/>
  <c r="O28" i="5"/>
  <c r="P12" i="5"/>
  <c r="P7" i="6"/>
  <c r="P12" i="6" s="1"/>
  <c r="P11" i="5"/>
  <c r="P23" i="4"/>
  <c r="P25" i="4" s="1"/>
  <c r="Q6" i="4"/>
  <c r="R15" i="4"/>
  <c r="R16" i="4" s="1"/>
  <c r="R7" i="5" s="1"/>
  <c r="C12" i="8"/>
  <c r="C13" i="8" s="1"/>
  <c r="N19" i="6"/>
  <c r="P14" i="5" l="1"/>
  <c r="P16" i="5" s="1"/>
  <c r="P8" i="6"/>
  <c r="P13" i="6" s="1"/>
  <c r="P9" i="6"/>
  <c r="P14" i="6" s="1"/>
  <c r="R17" i="4"/>
  <c r="C27" i="8"/>
  <c r="C26" i="8"/>
  <c r="O29" i="5"/>
  <c r="O30" i="5" s="1"/>
  <c r="Q8" i="4"/>
  <c r="Q22" i="4" s="1"/>
  <c r="O6" i="6" l="1"/>
  <c r="O17" i="6" s="1"/>
  <c r="O19" i="6" s="1"/>
  <c r="O31" i="5"/>
  <c r="C28" i="8"/>
  <c r="R10" i="6"/>
  <c r="R15" i="6" s="1"/>
  <c r="S13" i="4"/>
  <c r="Q9" i="4"/>
  <c r="Q10" i="4" s="1"/>
  <c r="P23" i="5"/>
  <c r="P17" i="5"/>
  <c r="P28" i="5" l="1"/>
  <c r="P24" i="5"/>
  <c r="Q20" i="4"/>
  <c r="Q24" i="4" s="1"/>
  <c r="Q6" i="5"/>
  <c r="Q8" i="5" s="1"/>
  <c r="S15" i="4"/>
  <c r="S16" i="4" s="1"/>
  <c r="S7" i="5" s="1"/>
  <c r="Q23" i="4"/>
  <c r="Q25" i="4" s="1"/>
  <c r="R6" i="4"/>
  <c r="Q7" i="6" l="1"/>
  <c r="Q12" i="6" s="1"/>
  <c r="Q11" i="5"/>
  <c r="Q12" i="5"/>
  <c r="S17" i="4"/>
  <c r="R8" i="4"/>
  <c r="R22" i="4" s="1"/>
  <c r="P29" i="5"/>
  <c r="P30" i="5" s="1"/>
  <c r="S10" i="6" l="1"/>
  <c r="S15" i="6" s="1"/>
  <c r="T13" i="4"/>
  <c r="P6" i="6"/>
  <c r="P17" i="6" s="1"/>
  <c r="P19" i="6" s="1"/>
  <c r="P31" i="5"/>
  <c r="Q9" i="6"/>
  <c r="Q14" i="6" s="1"/>
  <c r="Q8" i="6"/>
  <c r="Q13" i="6" s="1"/>
  <c r="Q14" i="5"/>
  <c r="Q16" i="5" s="1"/>
  <c r="R9" i="4"/>
  <c r="Q23" i="5" l="1"/>
  <c r="Q17" i="5"/>
  <c r="T15" i="4"/>
  <c r="T16" i="4" s="1"/>
  <c r="T7" i="5" s="1"/>
  <c r="R6" i="5"/>
  <c r="R8" i="5" s="1"/>
  <c r="R20" i="4"/>
  <c r="R24" i="4" s="1"/>
  <c r="R10" i="4"/>
  <c r="R12" i="5" l="1"/>
  <c r="R7" i="6"/>
  <c r="R12" i="6" s="1"/>
  <c r="R11" i="5"/>
  <c r="T17" i="4"/>
  <c r="R23" i="4"/>
  <c r="R25" i="4" s="1"/>
  <c r="S6" i="4"/>
  <c r="Q28" i="5"/>
  <c r="Q24" i="5"/>
  <c r="Q29" i="5" l="1"/>
  <c r="Q30" i="5" s="1"/>
  <c r="T10" i="6"/>
  <c r="T15" i="6" s="1"/>
  <c r="U13" i="4"/>
  <c r="R8" i="6"/>
  <c r="R13" i="6" s="1"/>
  <c r="R14" i="5"/>
  <c r="R16" i="5" s="1"/>
  <c r="R9" i="6"/>
  <c r="R14" i="6" s="1"/>
  <c r="S8" i="4"/>
  <c r="S22" i="4" s="1"/>
  <c r="S9" i="4" l="1"/>
  <c r="S6" i="5" s="1"/>
  <c r="S8" i="5" s="1"/>
  <c r="Q6" i="6"/>
  <c r="Q17" i="6" s="1"/>
  <c r="Q19" i="6" s="1"/>
  <c r="Q31" i="5"/>
  <c r="S20" i="4"/>
  <c r="S24" i="4" s="1"/>
  <c r="U15" i="4"/>
  <c r="U16" i="4" s="1"/>
  <c r="U7" i="5" s="1"/>
  <c r="S10" i="4"/>
  <c r="R17" i="5"/>
  <c r="R23" i="5"/>
  <c r="U17" i="4" l="1"/>
  <c r="S7" i="6"/>
  <c r="S12" i="6" s="1"/>
  <c r="S11" i="5"/>
  <c r="S12" i="5"/>
  <c r="S23" i="4"/>
  <c r="S25" i="4" s="1"/>
  <c r="T6" i="4"/>
  <c r="R24" i="5"/>
  <c r="R28" i="5"/>
  <c r="T8" i="4" l="1"/>
  <c r="T22" i="4" s="1"/>
  <c r="S14" i="5"/>
  <c r="S16" i="5" s="1"/>
  <c r="S8" i="6"/>
  <c r="S13" i="6" s="1"/>
  <c r="S9" i="6"/>
  <c r="S14" i="6" s="1"/>
  <c r="R29" i="5"/>
  <c r="R30" i="5" s="1"/>
  <c r="U10" i="6"/>
  <c r="U15" i="6" s="1"/>
  <c r="V13" i="4"/>
  <c r="R6" i="6" l="1"/>
  <c r="R17" i="6" s="1"/>
  <c r="R19" i="6" s="1"/>
  <c r="R31" i="5"/>
  <c r="S23" i="5"/>
  <c r="S17" i="5"/>
  <c r="V15" i="4"/>
  <c r="T9" i="4"/>
  <c r="V16" i="4" l="1"/>
  <c r="V7" i="5" s="1"/>
  <c r="S28" i="5"/>
  <c r="S24" i="5"/>
  <c r="T20" i="4"/>
  <c r="T24" i="4" s="1"/>
  <c r="T6" i="5"/>
  <c r="T8" i="5" s="1"/>
  <c r="T10" i="4"/>
  <c r="T23" i="4" l="1"/>
  <c r="T25" i="4" s="1"/>
  <c r="U6" i="4"/>
  <c r="T7" i="6"/>
  <c r="T12" i="6" s="1"/>
  <c r="T12" i="5"/>
  <c r="T11" i="5"/>
  <c r="S29" i="5"/>
  <c r="S30" i="5" s="1"/>
  <c r="V17" i="4"/>
  <c r="S31" i="5" l="1"/>
  <c r="S6" i="6"/>
  <c r="S17" i="6" s="1"/>
  <c r="S19" i="6" s="1"/>
  <c r="T9" i="6"/>
  <c r="T14" i="6" s="1"/>
  <c r="T14" i="5"/>
  <c r="T16" i="5" s="1"/>
  <c r="T8" i="6"/>
  <c r="T13" i="6" s="1"/>
  <c r="U8" i="4"/>
  <c r="U22" i="4" s="1"/>
  <c r="V10" i="6"/>
  <c r="V15" i="6" s="1"/>
  <c r="W13" i="4"/>
  <c r="U9" i="4" l="1"/>
  <c r="T17" i="5"/>
  <c r="T23" i="5"/>
  <c r="U6" i="5"/>
  <c r="U8" i="5" s="1"/>
  <c r="U20" i="4"/>
  <c r="U24" i="4" s="1"/>
  <c r="W15" i="4"/>
  <c r="U10" i="4"/>
  <c r="W16" i="4" l="1"/>
  <c r="W7" i="5" s="1"/>
  <c r="U12" i="5"/>
  <c r="U7" i="6"/>
  <c r="U12" i="6" s="1"/>
  <c r="U11" i="5"/>
  <c r="T28" i="5"/>
  <c r="T24" i="5"/>
  <c r="V6" i="4"/>
  <c r="U23" i="4"/>
  <c r="U25" i="4" s="1"/>
  <c r="U14" i="5" l="1"/>
  <c r="U16" i="5" s="1"/>
  <c r="U9" i="6"/>
  <c r="U14" i="6" s="1"/>
  <c r="U8" i="6"/>
  <c r="U13" i="6" s="1"/>
  <c r="T29" i="5"/>
  <c r="T30" i="5" s="1"/>
  <c r="V8" i="4"/>
  <c r="V22" i="4" s="1"/>
  <c r="W17" i="4"/>
  <c r="T6" i="6" l="1"/>
  <c r="T17" i="6" s="1"/>
  <c r="T19" i="6" s="1"/>
  <c r="T31" i="5"/>
  <c r="V9" i="4"/>
  <c r="V10" i="4" s="1"/>
  <c r="W10" i="6"/>
  <c r="W15" i="6" s="1"/>
  <c r="X13" i="4"/>
  <c r="U17" i="5"/>
  <c r="U23" i="5"/>
  <c r="U28" i="5" l="1"/>
  <c r="U24" i="5"/>
  <c r="V23" i="4"/>
  <c r="W6" i="4"/>
  <c r="X15" i="4"/>
  <c r="V20" i="4"/>
  <c r="V24" i="4" s="1"/>
  <c r="V6" i="5"/>
  <c r="V8" i="5" s="1"/>
  <c r="X16" i="4" l="1"/>
  <c r="X7" i="5" s="1"/>
  <c r="W8" i="4"/>
  <c r="W22" i="4" s="1"/>
  <c r="V25" i="4"/>
  <c r="V7" i="6"/>
  <c r="V12" i="6" s="1"/>
  <c r="V11" i="5"/>
  <c r="V12" i="5"/>
  <c r="U29" i="5"/>
  <c r="U30" i="5" s="1"/>
  <c r="U31" i="5" l="1"/>
  <c r="U6" i="6"/>
  <c r="U17" i="6" s="1"/>
  <c r="U19" i="6" s="1"/>
  <c r="V14" i="5"/>
  <c r="V16" i="5" s="1"/>
  <c r="V9" i="6"/>
  <c r="V14" i="6" s="1"/>
  <c r="V8" i="6"/>
  <c r="V13" i="6" s="1"/>
  <c r="W9" i="4"/>
  <c r="X17" i="4"/>
  <c r="W20" i="4" l="1"/>
  <c r="W24" i="4" s="1"/>
  <c r="W6" i="5"/>
  <c r="W8" i="5" s="1"/>
  <c r="X10" i="6"/>
  <c r="X15" i="6" s="1"/>
  <c r="Y13" i="4"/>
  <c r="W10" i="4"/>
  <c r="V17" i="5"/>
  <c r="V23" i="5"/>
  <c r="V28" i="5" l="1"/>
  <c r="V24" i="5"/>
  <c r="Y15" i="4"/>
  <c r="W23" i="4"/>
  <c r="W25" i="4" s="1"/>
  <c r="X6" i="4"/>
  <c r="W12" i="5"/>
  <c r="W7" i="6"/>
  <c r="W12" i="6" s="1"/>
  <c r="W11" i="5"/>
  <c r="X8" i="4" l="1"/>
  <c r="X22" i="4" s="1"/>
  <c r="Y16" i="4"/>
  <c r="Y7" i="5" s="1"/>
  <c r="W9" i="6"/>
  <c r="W14" i="6" s="1"/>
  <c r="W8" i="6"/>
  <c r="W13" i="6" s="1"/>
  <c r="W14" i="5"/>
  <c r="W16" i="5" s="1"/>
  <c r="V29" i="5"/>
  <c r="V30" i="5" s="1"/>
  <c r="V6" i="6" l="1"/>
  <c r="V17" i="6" s="1"/>
  <c r="V19" i="6" s="1"/>
  <c r="V31" i="5"/>
  <c r="W23" i="5"/>
  <c r="W17" i="5"/>
  <c r="X9" i="4"/>
  <c r="Y17" i="4"/>
  <c r="X6" i="5" l="1"/>
  <c r="X8" i="5" s="1"/>
  <c r="X20" i="4"/>
  <c r="X24" i="4" s="1"/>
  <c r="W24" i="5"/>
  <c r="W28" i="5"/>
  <c r="X10" i="4"/>
  <c r="Z13" i="4"/>
  <c r="Y10" i="6"/>
  <c r="Y15" i="6" s="1"/>
  <c r="X23" i="4" l="1"/>
  <c r="X25" i="4" s="1"/>
  <c r="Y6" i="4"/>
  <c r="Z15" i="4"/>
  <c r="AA15" i="4" s="1"/>
  <c r="W29" i="5"/>
  <c r="W30" i="5" s="1"/>
  <c r="X12" i="5"/>
  <c r="X7" i="6"/>
  <c r="X12" i="6" s="1"/>
  <c r="X11" i="5"/>
  <c r="W6" i="6" l="1"/>
  <c r="W17" i="6" s="1"/>
  <c r="W19" i="6" s="1"/>
  <c r="W31" i="5"/>
  <c r="Z16" i="4"/>
  <c r="Z17" i="4" s="1"/>
  <c r="Z10" i="6" s="1"/>
  <c r="X14" i="5"/>
  <c r="X16" i="5" s="1"/>
  <c r="X8" i="6"/>
  <c r="X13" i="6" s="1"/>
  <c r="X9" i="6"/>
  <c r="X14" i="6" s="1"/>
  <c r="Y8" i="4"/>
  <c r="Y22" i="4" s="1"/>
  <c r="Y9" i="4" l="1"/>
  <c r="Y10" i="4" s="1"/>
  <c r="Z15" i="6"/>
  <c r="AA15" i="6" s="1"/>
  <c r="AA10" i="6"/>
  <c r="Y23" i="4"/>
  <c r="Z6" i="4"/>
  <c r="X23" i="5"/>
  <c r="X17" i="5"/>
  <c r="Z7" i="5"/>
  <c r="AA7" i="5" s="1"/>
  <c r="AA16" i="4"/>
  <c r="Y20" i="4"/>
  <c r="Y24" i="4" s="1"/>
  <c r="Y6" i="5"/>
  <c r="Y8" i="5" s="1"/>
  <c r="X28" i="5" l="1"/>
  <c r="X24" i="5"/>
  <c r="Z8" i="4"/>
  <c r="Y25" i="4"/>
  <c r="Y7" i="6"/>
  <c r="Y12" i="6" s="1"/>
  <c r="Y11" i="5"/>
  <c r="Y12" i="5"/>
  <c r="Y9" i="6" l="1"/>
  <c r="Y14" i="6" s="1"/>
  <c r="Y8" i="6"/>
  <c r="Y13" i="6" s="1"/>
  <c r="Y14" i="5"/>
  <c r="Y16" i="5" s="1"/>
  <c r="Z22" i="4"/>
  <c r="AA22" i="4" s="1"/>
  <c r="AA8" i="4"/>
  <c r="Z9" i="4"/>
  <c r="Z10" i="4" s="1"/>
  <c r="Z23" i="4" s="1"/>
  <c r="X29" i="5"/>
  <c r="X30" i="5" s="1"/>
  <c r="X6" i="6" l="1"/>
  <c r="X17" i="6" s="1"/>
  <c r="X19" i="6" s="1"/>
  <c r="X31" i="5"/>
  <c r="Y23" i="5"/>
  <c r="Y17" i="5"/>
  <c r="Z6" i="5"/>
  <c r="Z20" i="4"/>
  <c r="AA9" i="4"/>
  <c r="Y24" i="5" l="1"/>
  <c r="Y28" i="5"/>
  <c r="Z24" i="4"/>
  <c r="AA20" i="4"/>
  <c r="Z8" i="5"/>
  <c r="AA6" i="5"/>
  <c r="Z25" i="4"/>
  <c r="Z12" i="5" l="1"/>
  <c r="AA12" i="5" s="1"/>
  <c r="Z7" i="6"/>
  <c r="Z11" i="5"/>
  <c r="AA8" i="5"/>
  <c r="Y29" i="5"/>
  <c r="Y30" i="5" s="1"/>
  <c r="Y6" i="6" l="1"/>
  <c r="Y17" i="6" s="1"/>
  <c r="Y19" i="6" s="1"/>
  <c r="Y31" i="5"/>
  <c r="Z12" i="6"/>
  <c r="AA12" i="6" s="1"/>
  <c r="AA7" i="6"/>
  <c r="Z8" i="6"/>
  <c r="Z14" i="5"/>
  <c r="Z9" i="6"/>
  <c r="AA11" i="5"/>
  <c r="Z14" i="6" l="1"/>
  <c r="AA14" i="6" s="1"/>
  <c r="AA9" i="6"/>
  <c r="AA14" i="5"/>
  <c r="Z16" i="5"/>
  <c r="Z13" i="6"/>
  <c r="AA13" i="6" s="1"/>
  <c r="AA8" i="6"/>
  <c r="Z23" i="5" l="1"/>
  <c r="Z17" i="5"/>
  <c r="AA17" i="5" s="1"/>
  <c r="AA16" i="5"/>
  <c r="Z24" i="5" l="1"/>
  <c r="AA24" i="5" s="1"/>
  <c r="Z28" i="5"/>
  <c r="AA23" i="5"/>
  <c r="Z29" i="5" l="1"/>
  <c r="AA29" i="5" s="1"/>
  <c r="AA28" i="5"/>
  <c r="Z30" i="5" l="1"/>
  <c r="Z6" i="6" l="1"/>
  <c r="Z31" i="5"/>
  <c r="AA31" i="5" s="1"/>
  <c r="AA30" i="5"/>
  <c r="Z17" i="6" l="1"/>
  <c r="AA6" i="6"/>
  <c r="AA17" i="6" l="1"/>
  <c r="Z19" i="6"/>
</calcChain>
</file>

<file path=xl/sharedStrings.xml><?xml version="1.0" encoding="utf-8"?>
<sst xmlns="http://schemas.openxmlformats.org/spreadsheetml/2006/main" count="383" uniqueCount="269">
  <si>
    <t>Manufacturing FP&amp;A Forecast &amp; Strategic Scenario Planner</t>
  </si>
  <si>
    <t>Built by Yehuda Slater · Strategic FP&amp;A &amp; Financial Decision Modeling</t>
  </si>
  <si>
    <t>WHO THIS IS FOR</t>
  </si>
  <si>
    <t>Strategic FP&amp;A teams, finance leaders, and CFOs in hybrid manufacturers — businesses that produce both standard catalog SKUs and custom-engineered orders. Built for industrial / B2B equipment manufacturers, but the structure adapts to any make-to-order or make-to-stock environment with backlog dynamics.</t>
  </si>
  <si>
    <t>THE STRATEGIC PROBLEM</t>
  </si>
  <si>
    <t>In manufacturing, three operating realities sit underneath every revenue forecast — and they are not independent:
   • Backlog &amp; order intake — what is in the book, and what is coming in
   • Lead time — how long it takes to convert backlog into shipped product
   • Capacity &amp; cash — whether the business can build it, and whether it can fund it
When order intake surges but lead time stretches, customers cancel. When material costs spike, working capital absorbs the shock before P&amp;L sees it. A forecast that treats these as independent inputs misses the strategic conversation entirely. This model treats them as the system they actually are.</t>
  </si>
  <si>
    <t>WHAT THIS MODEL DOES</t>
  </si>
  <si>
    <t>Builds a 24-month forecast for a hybrid manufacturer (Standard SKUs + Custom Orders) and tests it under four narrated strategic scenarios:
   1. BASE — Steady-state operations
   2. DEMAND SURGE — Sectoral investment cycle drives order intake +40%
   3. SUPPLY SQUEEZE — Material inflation +25%, supplier lead times double
   4. SOFT LANDING — Order intake declines 20% over 6 months
Each scenario is described as an operating environment with a story — what is happening in the market, what FP&amp;A should be watching, and what decisions the model is meant to support.
The centerpiece is a TWO-WAY SENSITIVITY MATRIX showing how Year 1 financial outcomes change across combinations of order intake change and lead time change. The matrix is not symmetric — when lead times stretch, a portion of backlog cancels, so high order intake combined with long lead times can destroy value. That asymmetry is where the strategic insight lives.</t>
  </si>
  <si>
    <t>HOW IT WORKS</t>
  </si>
  <si>
    <t>The model treats the business as two interacting product streams:
   • STANDARD SKUs — short lead time (typically 2–4 weeks), priced from catalog, ship from inventory or fast build, predictable margin, drives baseload revenue.
   • CUSTOM ORDERS — long lead time (typically 12–20 weeks), engineered-to-order, higher margin, drives backlog dynamics and cash flow profile.
Revenue in any month is converted from backlog at a rate determined by lead time. Order intake replenishes backlog. When lead time stretches, an explicit cancellation function reduces effective backlog. Material cost volatility flows through gross margin. Working capital movements (DSO, DPO, inventory days) translate P&amp;L into cash flow.</t>
  </si>
  <si>
    <t>SHEETS</t>
  </si>
  <si>
    <t>1. Instructions   →  This page
2. Drivers         →  All scenario inputs (Standard SKUs, Custom Orders, Operations, Working Capital)
3. Strategic Scenarios →  Four narrated scenarios with their business stories
4. Backlog &amp; Orders   →  Backlog evolution and revenue conversion model
5. Forecast P&amp;L    →  24-month P&amp;L for the active scenario
6. Cash Flow       →  P&amp;L → Cash bridge through working capital
7. 2-Way Sensitivity →  Lead Time × Order Intake matrix (the centerpiece)
8. Dashboard       →  Executive summary across scenarios</t>
  </si>
  <si>
    <t>HOW TO USE</t>
  </si>
  <si>
    <t>Step 1: Read the Strategic Scenarios sheet to understand the four operating environments.
Step 2: On the Drivers sheet, choose which scenario is active by setting the Scenario Selector (cell C5). Default is Base.
Step 3: All P&amp;L, Cash Flow, and Dashboard sheets update for the active scenario.
Step 4: Open 2-Way Sensitivity to read off Year 1 outcomes across combinations of lead time and order intake change.
Step 5: Open Dashboard for executive-level summary metrics.</t>
  </si>
  <si>
    <t>WHAT TO LOOK FOR</t>
  </si>
  <si>
    <t>• In the 2-Way Sensitivity matrix: where in the grid does Year 1 Net Income peak? If the peak is at moderate order intake with modest lead time stretch, that is your sweet spot. If a +30% order intake column shows declining margins as lead time stretches, that is the signal that growth without operational scaling destroys value.
• In the Cash Flow sheet: when does cash trough? In a Demand Surge scenario, cash often troughs in months 3–6 (working capital build) before P&amp;L profitability is visible. That gap is where bank lines and customer deposits matter.
• In the Soft Landing scenario: how long does backlog cushion revenue before the order intake decline becomes visible in P&amp;L? That window is your time to act.</t>
  </si>
  <si>
    <t>COLOR CODING</t>
  </si>
  <si>
    <t>Blue text  → Hardcoded inputs (you change these)
Black text → Formulas (do not edit)
Green text → Cross-sheet links
Yellow bg  → Key input cells
Conditional formatting in 2-Way Sensitivity uses a green-red color scale where green = better outcomes, red = worse outcomes.</t>
  </si>
  <si>
    <t>METHODOLOGY NOTES</t>
  </si>
  <si>
    <t>• Lead time → revenue conversion: monthly revenue = backlog × (1 / lead_time_months) × (1 − cancellation_rate(lead_time)).
• Cancellation function: 0% at standard lead time; rises ~3% per additional week of lead time stretch beyond standard, capped at 35%. This is a stylized but realistic behavioral response — long lead times trigger customer search behavior.
• Material cost flows through gross margin month-by-month with a 1-month lag (reflecting purchase-order pricing).
• Working capital: AR = Revenue × DSO/30, AP = Material Cost × DPO/30, Inventory = (Material Cost + Labour) × Inventory Days/30. Changes in WC become cash flow items.</t>
  </si>
  <si>
    <t>DRIVERS — SCENARIO INPUTS</t>
  </si>
  <si>
    <t>All blue cells are inputs. Set the Scenario Selector (C5) to switch active scenario.</t>
  </si>
  <si>
    <t>ACTIVE SCENARIO SELECTOR</t>
  </si>
  <si>
    <t>Scenario  (1=Base, 2=Demand Surge, 3=Supply Squeeze, 4=Soft Landing)</t>
  </si>
  <si>
    <t>Driver</t>
  </si>
  <si>
    <t>Base</t>
  </si>
  <si>
    <t>Demand Surge</t>
  </si>
  <si>
    <t>Supply Squeeze</t>
  </si>
  <si>
    <t>Soft Landing</t>
  </si>
  <si>
    <t>Notes</t>
  </si>
  <si>
    <t xml:space="preserve">  STANDARD SKUs</t>
  </si>
  <si>
    <t>Opening Standard Backlog ($)</t>
  </si>
  <si>
    <t>Backlog at month 0</t>
  </si>
  <si>
    <t>Avg Order Intake / Month ($)</t>
  </si>
  <si>
    <t>Monthly run rate (Soft Landing decreases over time — see Backlog sheet)</t>
  </si>
  <si>
    <t>Standard Lead Time (weeks)</t>
  </si>
  <si>
    <t>Catalog product lead time (Demand Surge stretches with capacity strain)</t>
  </si>
  <si>
    <t>Standard Gross Margin %</t>
  </si>
  <si>
    <t>Standard SKU margin before material cost shock</t>
  </si>
  <si>
    <t xml:space="preserve">  CUSTOM ORDERS</t>
  </si>
  <si>
    <t>Opening Custom Backlog ($)</t>
  </si>
  <si>
    <t>Monthly run rate</t>
  </si>
  <si>
    <t>Custom Lead Time (weeks)</t>
  </si>
  <si>
    <t>Engineering + manufacturing time</t>
  </si>
  <si>
    <t>Custom Gross Margin %</t>
  </si>
  <si>
    <t>Higher margin reflects engineering content</t>
  </si>
  <si>
    <t>Cancellation Sensitivity</t>
  </si>
  <si>
    <t>Backlog cancellation per extra week of lead time</t>
  </si>
  <si>
    <t xml:space="preserve">  OPERATIONS &amp; CAPACITY</t>
  </si>
  <si>
    <t>Monthly Production Capacity ($)</t>
  </si>
  <si>
    <t>Maximum monthly throughput at standard run rate</t>
  </si>
  <si>
    <t>Direct Labour as % of Revenue</t>
  </si>
  <si>
    <t>Labour cost as % of revenue</t>
  </si>
  <si>
    <t>Manufacturing Overhead / Month ($)</t>
  </si>
  <si>
    <t>Fixed + semi-variable plant overhead</t>
  </si>
  <si>
    <t xml:space="preserve">  MATERIAL COST</t>
  </si>
  <si>
    <t>Base Material Cost % of Revenue</t>
  </si>
  <si>
    <t>Material as % of revenue (Supply Squeeze: +25% inflation = 0.42 × 1.25)</t>
  </si>
  <si>
    <t>Material Cost Volatility (monthly)</t>
  </si>
  <si>
    <t>Standard deviation of monthly material cost change</t>
  </si>
  <si>
    <t xml:space="preserve">  WORKING CAPITAL</t>
  </si>
  <si>
    <t>DSO (Days Sales Outstanding)</t>
  </si>
  <si>
    <t>AR collection period (Soft Landing: customers stretch payments)</t>
  </si>
  <si>
    <t>DPO (Days Payables Outstanding)</t>
  </si>
  <si>
    <t>AP payment period (Supply Squeeze: suppliers tighten terms)</t>
  </si>
  <si>
    <t>Inventory Days</t>
  </si>
  <si>
    <t>Days of inventory on hand</t>
  </si>
  <si>
    <t>Customer Deposit % (Custom)</t>
  </si>
  <si>
    <t>% of custom order taken as deposit upfront</t>
  </si>
  <si>
    <t xml:space="preserve">  OPERATING EXPENSES &amp; FINANCIAL</t>
  </si>
  <si>
    <t>SG&amp;A / Month ($)</t>
  </si>
  <si>
    <t>Selling, General, &amp; Admin</t>
  </si>
  <si>
    <t>Interest Expense / Month ($)</t>
  </si>
  <si>
    <t>Higher in surge/squeeze due to working capital draw</t>
  </si>
  <si>
    <t>Effective Tax Rate</t>
  </si>
  <si>
    <t>Effective corporate tax rate</t>
  </si>
  <si>
    <t>ACTIVE SCENARIO VALUES (computed — used by downstream sheets)</t>
  </si>
  <si>
    <t>Active Value</t>
  </si>
  <si>
    <t>Source</t>
  </si>
  <si>
    <t>Row 9</t>
  </si>
  <si>
    <t>Standard Order Intake / Month ($)</t>
  </si>
  <si>
    <t>Row 10</t>
  </si>
  <si>
    <t>Row 11</t>
  </si>
  <si>
    <t>Row 12</t>
  </si>
  <si>
    <t>Row 14</t>
  </si>
  <si>
    <t>Custom Order Intake / Month ($)</t>
  </si>
  <si>
    <t>Row 15</t>
  </si>
  <si>
    <t>Row 16</t>
  </si>
  <si>
    <t>Row 17</t>
  </si>
  <si>
    <t>Row 18</t>
  </si>
  <si>
    <t>Row 20</t>
  </si>
  <si>
    <t>Row 21</t>
  </si>
  <si>
    <t>Row 22</t>
  </si>
  <si>
    <t>Material Cost % of Revenue</t>
  </si>
  <si>
    <t>Row 24</t>
  </si>
  <si>
    <t>Material Cost Volatility</t>
  </si>
  <si>
    <t>Row 25</t>
  </si>
  <si>
    <t>DSO</t>
  </si>
  <si>
    <t>Row 27</t>
  </si>
  <si>
    <t>DPO</t>
  </si>
  <si>
    <t>Row 28</t>
  </si>
  <si>
    <t>Row 29</t>
  </si>
  <si>
    <t>Row 30</t>
  </si>
  <si>
    <t>Row 32</t>
  </si>
  <si>
    <t>Row 33</t>
  </si>
  <si>
    <t>Row 34</t>
  </si>
  <si>
    <t>STRATEGIC SCENARIOS — THE STORIES</t>
  </si>
  <si>
    <t>Each scenario describes an operating environment, not a set of numbers. The model translates the story into financial outcomes.</t>
  </si>
  <si>
    <t>BASE — STEADY STATE OPERATIONS</t>
  </si>
  <si>
    <t>THE OPERATING ENVIRONMENT</t>
  </si>
  <si>
    <t>Stable demand at historical run rate. Customers ordering on normal cycles. Supplier lead times normal. Material costs stable. The reference case against which everything else is measured.</t>
  </si>
  <si>
    <t>WHAT FP&amp;A IS WATCHING</t>
  </si>
  <si>
    <t>Capacity utilization holding steady. Backlog at ~6–8 months of revenue (custom side). Working capital steady. Cash generation matching plan.</t>
  </si>
  <si>
    <t>DECISIONS THIS SCENARIO INFORMS</t>
  </si>
  <si>
    <t>Annual budget. Compensation planning. Standard capacity decisions. Routine investment committee approvals.</t>
  </si>
  <si>
    <t>DEMAND SURGE — INFRASTRUCTURE INVESTMENT CYCLE</t>
  </si>
  <si>
    <t>A sectoral investment cycle drives order intake up 40% — could be infrastructure stimulus, customer onshoring, or a competitive disruption that shifts share. The plant fills up. Backlog grows from 7 months to 11 months. Lead times stretch from 14 to 18 weeks on the custom side. Sales celebrates. Operations scrambles. Finance worries.</t>
  </si>
  <si>
    <t>Capacity utilization above 95% — bottlenecks emerging. Lead time stretch triggering customer pushback and selective cancellations. Working capital drawing hard on cash as inventory and receivables balloon. Margins under quiet pressure as overtime and expedite costs rise. The question shifts from 'how do we sell more?' to 'how do we deliver what we already sold without destroying margin?'</t>
  </si>
  <si>
    <t>Should we hire? Add a shift? Decline marginal orders to protect lead times for strategic customers? Push customer deposits higher to fund WC? Raise prices on the standard side to ration capacity? Each of these is a real strategic call — and the model's job is to show what each costs and what each gains.</t>
  </si>
  <si>
    <t>SUPPLY SQUEEZE — MATERIAL INFLATION &amp; SUPPLIER LEAD TIMES</t>
  </si>
  <si>
    <t>Steel, copper, or other key materials spike 25%. Supplier lead times double. Suppliers tighten payment terms (DPO compresses from 42 to 30 days). Customers do not yet accept full price pass-through — your margins absorb the shock first. Inventory days rise as you hold safety stock against supply uncertainty.</t>
  </si>
  <si>
    <t>Gross margin compression — material as % of revenue rising. Cash flow worsening on two fronts: more inventory, faster payables. Customer push-back on pricing surcharges. Backlog cancellations rising as lead times stretch beyond what some customers can tolerate. Overhead absorption suffering as production slows.</t>
  </si>
  <si>
    <t>How fast can we pass through cost? Which customers accept which surcharge structure? Should we hedge or pre-buy material? How much working capital do we need to fund the inventory build, and where does it come from? Do we deliberately ration backlog growth to protect cash? At what point does the squeeze become a structural threat rather than a cyclical one?</t>
  </si>
  <si>
    <t>SOFT LANDING — GRADUAL ORDER INTAKE DECLINE</t>
  </si>
  <si>
    <t>Customers delay capex decisions. Order intake drifts 20% lower over six months. The trick: backlog cushions revenue for 6–9 months, so the income statement looks fine for a while. Then, around month 9–12, the gap opens up. Customer payments stretch as everyone watches their own cash.</t>
  </si>
  <si>
    <t>Order intake trends — reading the leading indicator before P&amp;L sees it. Backlog burn-down rate. DSO creeping up. The gap between current revenue and current orders (book-to-bill ratio) — when book-to-bill drops below 1.0, the warning is real. Capacity utilization trending down.</t>
  </si>
  <si>
    <t>When do we flex labour down? How aggressively? Do we accept lower-margin work to fill the gap or hold prices and accept lower utilization? Where do we cut SG&amp;A first? Is this cyclical or structural — meaning, do we plan to ride it out or restructure? How do we use the lull to invest in tools, training, or the next product cycle?</t>
  </si>
  <si>
    <t>BACKLOG, ORDER INTAKE &amp; REVENUE CONVERSION</t>
  </si>
  <si>
    <t>Monthly evolution under active scenario. Revenue conversion driven by lead time × cancellation function.</t>
  </si>
  <si>
    <t>Item</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</si>
  <si>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</si>
  <si>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</si>
  <si>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</si>
  <si>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</si>
  <si>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</si>
  <si>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</si>
  <si>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</si>
  <si>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</si>
  <si>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</si>
  <si>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</si>
  <si>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</si>
  <si>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</si>
  <si>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</si>
  <si>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</si>
  <si>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</si>
  <si>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</si>
  <si>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</si>
  <si>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</si>
  <si>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</si>
  <si>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</si>
  <si>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</si>
  <si>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</si>
  <si>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</si>
  <si>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</si>
  <si>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Total</t>
  </si>
  <si>
    <t>Beginning Backlog</t>
  </si>
  <si>
    <t>Order Intake</t>
  </si>
  <si>
    <t>Cancellations</t>
  </si>
  <si>
    <t>Revenue Recognized</t>
  </si>
  <si>
    <t>Ending Backlog</t>
  </si>
  <si>
    <t xml:space="preserve">  COMBINED METRICS</t>
  </si>
  <si>
    <t>Total Revenue</t>
  </si>
  <si>
    <t>Total Order Intake</t>
  </si>
  <si>
    <t>Total Cancellations</t>
  </si>
  <si>
    <t>Total Backlog (Ending)</t>
  </si>
  <si>
    <t>Book-to-Bill Ratio</t>
  </si>
  <si>
    <t>Months of Backlog</t>
  </si>
  <si>
    <t>FORECAST P&amp;L — 24 MONTHS</t>
  </si>
  <si>
    <t>P&amp;L Line</t>
  </si>
  <si>
    <t xml:space="preserve">  REVENUE</t>
  </si>
  <si>
    <t>Standard SKUs</t>
  </si>
  <si>
    <t>Custom Orders</t>
  </si>
  <si>
    <t xml:space="preserve">  COST OF GOODS SOLD</t>
  </si>
  <si>
    <t>Material Cost</t>
  </si>
  <si>
    <t>Direct Labour</t>
  </si>
  <si>
    <t>Manufacturing Overhead</t>
  </si>
  <si>
    <t>Total COGS</t>
  </si>
  <si>
    <t>GROSS PROFIT</t>
  </si>
  <si>
    <t>Gross Margin %</t>
  </si>
  <si>
    <t xml:space="preserve">  OPERATING EXPENSES</t>
  </si>
  <si>
    <t>SG&amp;A</t>
  </si>
  <si>
    <t>Total OpEx</t>
  </si>
  <si>
    <t>EBITDA</t>
  </si>
  <si>
    <t>EBITDA Margin %</t>
  </si>
  <si>
    <t xml:space="preserve">  BELOW THE LINE</t>
  </si>
  <si>
    <t>Interest Expense</t>
  </si>
  <si>
    <t>EBT</t>
  </si>
  <si>
    <t>Income Tax</t>
  </si>
  <si>
    <t>NET INCOME</t>
  </si>
  <si>
    <t>Net Margin %</t>
  </si>
  <si>
    <t>CASH FLOW FORECAST — P&amp;L → CASH BRIDGE</t>
  </si>
  <si>
    <t>Working capital movements (AR, AP, Inventory) translate P&amp;L into cash flow.</t>
  </si>
  <si>
    <t>Cash Flow Line</t>
  </si>
  <si>
    <t xml:space="preserve">  OPERATING CASH FLOW</t>
  </si>
  <si>
    <t>Net Income</t>
  </si>
  <si>
    <t xml:space="preserve">  AR Balance</t>
  </si>
  <si>
    <t xml:space="preserve">  Inventory Balance</t>
  </si>
  <si>
    <t xml:space="preserve">  AP Balance</t>
  </si>
  <si>
    <t xml:space="preserve">  Customer Deposits Balance</t>
  </si>
  <si>
    <t>Δ AR (cash impact)</t>
  </si>
  <si>
    <t>Δ Inventory (cash impact)</t>
  </si>
  <si>
    <t>Δ AP (cash impact)</t>
  </si>
  <si>
    <t>Δ Customer Deposits (cash impact)</t>
  </si>
  <si>
    <t>OPERATING CASH FLOW</t>
  </si>
  <si>
    <t>Cumulative Operating Cash Flow</t>
  </si>
  <si>
    <t>TWO-WAY SENSITIVITY: LEAD TIME × ORDER INTAKE</t>
  </si>
  <si>
    <t>Year 1 financial outcomes across combinations of lead time stretch and order intake change. Based on Base scenario.</t>
  </si>
  <si>
    <t>Note: rows = lead time change (weeks added to base 14-week custom lead time). Columns = order intake change vs base. Values are stylized Year 1 outcomes computed analytically — they assume the change is sustained for the year, that capacity does not constrain output, and that the cancellation function applies to incremental backlog.</t>
  </si>
  <si>
    <t>MATRIX 1: ANNUAL REVENUE</t>
  </si>
  <si>
    <t>Lead Time Change ↓  /  Order Intake Change →</t>
  </si>
  <si>
    <t>-20%</t>
  </si>
  <si>
    <t>-10%</t>
  </si>
  <si>
    <t>+0%</t>
  </si>
  <si>
    <t>+10%</t>
  </si>
  <si>
    <t>+20%</t>
  </si>
  <si>
    <t>+30%</t>
  </si>
  <si>
    <t>-2 weeks</t>
  </si>
  <si>
    <t>+0 weeks</t>
  </si>
  <si>
    <t>+2 weeks</t>
  </si>
  <si>
    <t>+4 weeks</t>
  </si>
  <si>
    <t>+6 weeks</t>
  </si>
  <si>
    <t>+8 weeks</t>
  </si>
  <si>
    <t>MATRIX 2: ANNUAL NET INCOME</t>
  </si>
  <si>
    <t>MATRIX 3: ANNUAL OPERATING CASH FLOW (approx)</t>
  </si>
  <si>
    <t>HOW TO READ THIS</t>
  </si>
  <si>
    <t>• Look at the Net Income matrix. Where does it peak? If the peak shifts to lower order intake as lead time stretches, that is the value-destruction zone — high orders combined with stretched lead times trigger cancellations that destroy more value than the incremental orders create.</t>
  </si>
  <si>
    <t>• Look at the Cash matrix. Even when Net Income is positive, cash can be negative because of working capital build. Compare the two — that gap is what your bank line or customer deposits need to fund.</t>
  </si>
  <si>
    <t>• Color scale: green = better outcomes, red = worse outcomes. The shape of the green region tells you the operating sweet spot.</t>
  </si>
  <si>
    <t>EXECUTIVE DASHBOARD — ACTIVE SCENARIO</t>
  </si>
  <si>
    <t>YEAR 1 — KEY FINANCIAL METRICS</t>
  </si>
  <si>
    <t>Metric</t>
  </si>
  <si>
    <t>Value</t>
  </si>
  <si>
    <t>What This Tells You</t>
  </si>
  <si>
    <t>Year 1 Revenue</t>
  </si>
  <si>
    <t>Total revenue from converted backlog (months 1–12)</t>
  </si>
  <si>
    <t>Year 1 Gross Profit</t>
  </si>
  <si>
    <t>Revenue less material, labour, and manufacturing overhead</t>
  </si>
  <si>
    <t>Year 1 Gross Margin %</t>
  </si>
  <si>
    <t>Gross profit as % of revenue</t>
  </si>
  <si>
    <t>Year 1 EBITDA</t>
  </si>
  <si>
    <t>Operating earnings before interest and tax</t>
  </si>
  <si>
    <t>Year 1 EBITDA Margin %</t>
  </si>
  <si>
    <t>Operating efficiency</t>
  </si>
  <si>
    <t>Year 1 Net Income</t>
  </si>
  <si>
    <t>Bottom-line profit after interest and tax</t>
  </si>
  <si>
    <t>Year 1 Operating Cash</t>
  </si>
  <si>
    <t>Cash from operations including WC movements</t>
  </si>
  <si>
    <t>Year 1 NI vs OCF Gap</t>
  </si>
  <si>
    <t>Difference between profit and cash — funded by working capital</t>
  </si>
  <si>
    <t>OPERATIONAL METRICS — END OF YEAR 1</t>
  </si>
  <si>
    <t>Total Backlog (M12)</t>
  </si>
  <si>
    <t>Combined ending backlog at the end of Year 1</t>
  </si>
  <si>
    <t>Months of Backlog (M12)</t>
  </si>
  <si>
    <t>How many months of revenue are committed in backlog</t>
  </si>
  <si>
    <t>Y1 Avg Book-to-Bill</t>
  </si>
  <si>
    <t>Above 1.0 means backlog growing; below 1.0 means burning</t>
  </si>
  <si>
    <t>Y1 Total Order Intake</t>
  </si>
  <si>
    <t>Sum of orders booked in Year 1</t>
  </si>
  <si>
    <t>Y1 Total Cancellations</t>
  </si>
  <si>
    <t>Backlog lost to lead-time-driven cancellations</t>
  </si>
  <si>
    <t>Cancellation Rate</t>
  </si>
  <si>
    <t>Cancelled orders as % of total available backlog</t>
  </si>
  <si>
    <t>CASH FLOW PATTERN — YEAR 1</t>
  </si>
  <si>
    <t>Min Cumulative Operating Cash (Y1)</t>
  </si>
  <si>
    <t>Cash trough — the worst point in the year. If negative, financing is needed.</t>
  </si>
  <si>
    <t>Max Cumulative Operating Cash (Y1)</t>
  </si>
  <si>
    <t>Cash peak — the high water mark during the year.</t>
  </si>
  <si>
    <t>Cash Range (Peak − Trough)</t>
  </si>
  <si>
    <t>The size of the cash swing — informs liquidity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</si>
</sst>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quot;#,##0\);\-"/>
    <numFmt numFmtId="165" formatCode="0.0%;\(0.0%\);\-"/>
    <numFmt numFmtId="166" formatCode="\$#,##0,\K;&quot;($&quot;#,##0,&quot;K)&quot;;\-"/>
    <numFmt numFmtId="167" formatCode="0.0"/>
  </numFmts>
  <fonts count="24" x14ac:knownFonts="1">
    <font>
      <sz val="11"/>
      <color theme="1"/>
      <name val="Calibri"/>
      <family val="2"/>
      <charset val="1"/>
    </font>
    <font>
      <b/>
      <sz val="18"/>
      <color rgb="FFFFFFFF"/>
      <name val="Arial"/>
      <family val="2"/>
    </font>
    <font>
      <i/>
      <sz val="10"/>
      <color rgb="FFFFFFFF"/>
      <name val="Arial"/>
      <family val="2"/>
    </font>
    <font>
      <b/>
      <sz val="10"/>
      <color rgb="FF1B4332"/>
      <name val="Arial"/>
      <family val="2"/>
    </font>
    <font>
      <sz val="10"/>
      <color rgb="FF000000"/>
      <name val="Arial"/>
      <family val="2"/>
    </font>
    <font>
      <b/>
      <sz val="14"/>
      <color rgb="FFFFFFFF"/>
      <name val="Arial"/>
      <family val="2"/>
    </font>
    <font>
      <b/>
      <sz val="11"/>
      <color rgb="FFFFFFFF"/>
      <name val="Arial"/>
      <family val="2"/>
    </font>
    <font>
      <b/>
      <sz val="10"/>
      <color rgb="FF000000"/>
      <name val="Arial"/>
      <family val="2"/>
    </font>
    <font>
      <b/>
      <sz val="14"/>
      <color rgb="FF0000FF"/>
      <name val="Arial"/>
      <family val="2"/>
    </font>
    <font>
      <b/>
      <sz val="11"/>
      <color rgb="FF1B4332"/>
      <name val="Arial"/>
      <family val="2"/>
    </font>
    <font>
      <b/>
      <sz val="10"/>
      <color rgb="FFFFFFFF"/>
      <name val="Arial"/>
      <family val="2"/>
    </font>
    <font>
      <sz val="10"/>
      <color rgb="FF0000FF"/>
      <name val="Arial"/>
      <family val="2"/>
    </font>
    <font>
      <i/>
      <sz val="9"/>
      <color rgb="FF404040"/>
      <name val="Arial"/>
      <family val="2"/>
    </font>
    <font>
      <b/>
      <sz val="13"/>
      <color rgb="FFFFFFFF"/>
      <name val="Arial"/>
      <family val="2"/>
    </font>
    <font>
      <sz val="10"/>
      <color rgb="FF008000"/>
      <name val="Arial"/>
      <family val="2"/>
    </font>
    <font>
      <sz val="10"/>
      <color rgb="FF404040"/>
      <name val="Arial"/>
      <family val="2"/>
    </font>
    <font>
      <b/>
      <i/>
      <sz val="10"/>
      <color rgb="FFFFFFFF"/>
      <name val="Arial"/>
      <family val="2"/>
    </font>
    <font>
      <sz val="10"/>
      <name val="Arial"/>
      <family val="2"/>
    </font>
    <font>
      <i/>
      <sz val="10"/>
      <color rgb="FF000000"/>
      <name val="Arial"/>
      <family val="2"/>
    </font>
    <font>
      <i/>
      <sz val="10"/>
      <name val="Arial"/>
      <family val="2"/>
    </font>
    <font>
      <b/>
      <sz val="10"/>
      <name val="Arial"/>
      <family val="2"/>
    </font>
    <font>
      <b/>
      <sz val="9"/>
      <color rgb="FFFFFFFF"/>
      <name val="Arial"/>
      <family val="2"/>
    </font>
    <font>
      <b/>
      <sz val="10"/>
      <color rgb="FF008000"/>
      <name val="Arial"/>
      <family val="2"/>
    </font>
    <font>
      <sz val="9"/>
      <color rgb="FF404040"/>
      <name val="Arial"/>
      <family val="2"/>
    </font>
  </fonts>
  <fills count="13">
    <fill>
      <patternFill patternType="none"/>
    </fill>
    <fill>
      <patternFill patternType="gray125"/>
    </fill>
    <fill>
      <patternFill patternType="solid">
        <fgColor rgb="FF1B4332"/>
        <bgColor rgb="FF1A365D"/>
      </patternFill>
    </fill>
    <fill>
      <patternFill patternType="solid">
        <fgColor rgb="FF2D6A4F"/>
        <bgColor rgb="FF1B4332"/>
      </patternFill>
    </fill>
    <fill>
      <patternFill patternType="solid">
        <fgColor rgb="FF1A365D"/>
        <bgColor rgb="FF1B4332"/>
      </patternFill>
    </fill>
    <fill>
      <patternFill patternType="solid">
        <fgColor rgb="FFFFFF00"/>
        <bgColor rgb="FFFFFF00"/>
      </patternFill>
    </fill>
    <fill>
      <patternFill patternType="solid">
        <fgColor rgb="FFD8F3DC"/>
        <bgColor rgb="FFE8F5E9"/>
      </patternFill>
    </fill>
    <fill>
      <patternFill patternType="solid">
        <fgColor rgb="FFFFFFFF"/>
        <bgColor rgb="FFF0FAF3"/>
      </patternFill>
    </fill>
    <fill>
      <patternFill patternType="solid">
        <fgColor rgb="FFE8F5E9"/>
        <bgColor rgb="FFF0FAF3"/>
      </patternFill>
    </fill>
    <fill>
      <patternFill patternType="solid">
        <fgColor rgb="FFFFF8E1"/>
        <bgColor rgb="FFF0FAF3"/>
      </patternFill>
    </fill>
    <fill>
      <patternFill patternType="solid">
        <fgColor rgb="FFFCE4EC"/>
        <bgColor rgb="FFFFF8E1"/>
      </patternFill>
    </fill>
    <fill>
      <patternFill patternType="solid">
        <fgColor rgb="FFE1F5FE"/>
        <bgColor rgb="FFE8F5E9"/>
      </patternFill>
    </fill>
    <fill>
      <patternFill patternType="solid">
        <fgColor rgb="FFF0FAF3"/>
        <bgColor rgb="FFE8F5E9"/>
      </patternFill>
    </fill>
  </fills>
  <borders count="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8">
    <xf numFmtId="0" fontId="0" fillId="0" borderId="0" xfId="0"/>
    <xf numFmtId="0" fontId="3"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center" wrapText="1"/>
    </xf>
    <xf numFmtId="0" fontId="8" fillId="5"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7" borderId="2" xfId="0" applyFont="1" applyFill="1" applyBorder="1" applyAlignment="1">
      <alignment horizontal="left" vertical="center" wrapText="1"/>
    </xf>
    <xf numFmtId="164" fontId="11" fillId="8" borderId="2" xfId="0" applyNumberFormat="1" applyFont="1" applyFill="1" applyBorder="1" applyAlignment="1">
      <alignment horizontal="right" vertical="center"/>
    </xf>
    <xf numFmtId="164" fontId="11" fillId="9" borderId="2" xfId="0" applyNumberFormat="1" applyFont="1" applyFill="1" applyBorder="1" applyAlignment="1">
      <alignment horizontal="right" vertical="center"/>
    </xf>
    <xf numFmtId="164" fontId="11" fillId="10" borderId="2" xfId="0" applyNumberFormat="1" applyFont="1" applyFill="1" applyBorder="1" applyAlignment="1">
      <alignment horizontal="right" vertical="center"/>
    </xf>
    <xf numFmtId="164" fontId="11" fillId="11" borderId="2" xfId="0" applyNumberFormat="1" applyFont="1" applyFill="1" applyBorder="1" applyAlignment="1">
      <alignment horizontal="right" vertical="center"/>
    </xf>
    <xf numFmtId="0" fontId="12" fillId="7" borderId="2"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12" fillId="12" borderId="2" xfId="0" applyFont="1" applyFill="1" applyBorder="1" applyAlignment="1">
      <alignment horizontal="left" vertical="center" wrapText="1"/>
    </xf>
    <xf numFmtId="4" fontId="11" fillId="8" borderId="2" xfId="0" applyNumberFormat="1" applyFont="1" applyFill="1" applyBorder="1" applyAlignment="1">
      <alignment horizontal="right" vertical="center"/>
    </xf>
    <xf numFmtId="4" fontId="11" fillId="9" borderId="2" xfId="0" applyNumberFormat="1" applyFont="1" applyFill="1" applyBorder="1" applyAlignment="1">
      <alignment horizontal="right" vertical="center"/>
    </xf>
    <xf numFmtId="4" fontId="11" fillId="10" borderId="2" xfId="0" applyNumberFormat="1" applyFont="1" applyFill="1" applyBorder="1" applyAlignment="1">
      <alignment horizontal="right" vertical="center"/>
    </xf>
    <xf numFmtId="4" fontId="11" fillId="11" borderId="2" xfId="0" applyNumberFormat="1" applyFont="1" applyFill="1" applyBorder="1" applyAlignment="1">
      <alignment horizontal="right" vertical="center"/>
    </xf>
    <xf numFmtId="165" fontId="11" fillId="8" borderId="2" xfId="0" applyNumberFormat="1" applyFont="1" applyFill="1" applyBorder="1" applyAlignment="1">
      <alignment horizontal="right" vertical="center"/>
    </xf>
    <xf numFmtId="165" fontId="11" fillId="9" borderId="2" xfId="0" applyNumberFormat="1" applyFont="1" applyFill="1" applyBorder="1" applyAlignment="1">
      <alignment horizontal="right" vertical="center"/>
    </xf>
    <xf numFmtId="165" fontId="11" fillId="10" borderId="2" xfId="0" applyNumberFormat="1" applyFont="1" applyFill="1" applyBorder="1" applyAlignment="1">
      <alignment horizontal="right" vertical="center"/>
    </xf>
    <xf numFmtId="165" fontId="11" fillId="11" borderId="2" xfId="0" applyNumberFormat="1" applyFont="1" applyFill="1" applyBorder="1" applyAlignment="1">
      <alignment horizontal="right" vertical="center"/>
    </xf>
    <xf numFmtId="3" fontId="11" fillId="8" borderId="2" xfId="0" applyNumberFormat="1" applyFont="1" applyFill="1" applyBorder="1" applyAlignment="1">
      <alignment horizontal="right" vertical="center"/>
    </xf>
    <xf numFmtId="3" fontId="11" fillId="9" borderId="2" xfId="0" applyNumberFormat="1" applyFont="1" applyFill="1" applyBorder="1" applyAlignment="1">
      <alignment horizontal="right" vertical="center"/>
    </xf>
    <xf numFmtId="3" fontId="11" fillId="10" borderId="2" xfId="0" applyNumberFormat="1" applyFont="1" applyFill="1" applyBorder="1" applyAlignment="1">
      <alignment horizontal="right" vertical="center"/>
    </xf>
    <xf numFmtId="3" fontId="11" fillId="11" borderId="2" xfId="0" applyNumberFormat="1" applyFont="1" applyFill="1" applyBorder="1" applyAlignment="1">
      <alignment horizontal="right" vertical="center"/>
    </xf>
    <xf numFmtId="164" fontId="3" fillId="12" borderId="2" xfId="0" applyNumberFormat="1" applyFont="1" applyFill="1" applyBorder="1" applyAlignment="1">
      <alignment horizontal="right" vertical="center"/>
    </xf>
    <xf numFmtId="0" fontId="12" fillId="12" borderId="2" xfId="0" applyFont="1" applyFill="1" applyBorder="1" applyAlignment="1">
      <alignment horizontal="center" vertical="center" wrapText="1"/>
    </xf>
    <xf numFmtId="164" fontId="3" fillId="7" borderId="2" xfId="0" applyNumberFormat="1" applyFont="1" applyFill="1" applyBorder="1" applyAlignment="1">
      <alignment horizontal="right" vertical="center"/>
    </xf>
    <xf numFmtId="0" fontId="12" fillId="7" borderId="2" xfId="0" applyFont="1" applyFill="1" applyBorder="1" applyAlignment="1">
      <alignment horizontal="center" vertical="center" wrapText="1"/>
    </xf>
    <xf numFmtId="4" fontId="3" fillId="12" borderId="2" xfId="0" applyNumberFormat="1" applyFont="1" applyFill="1" applyBorder="1" applyAlignment="1">
      <alignment horizontal="right" vertical="center"/>
    </xf>
    <xf numFmtId="165" fontId="3" fillId="7" borderId="2" xfId="0" applyNumberFormat="1" applyFont="1" applyFill="1" applyBorder="1" applyAlignment="1">
      <alignment horizontal="right" vertical="center"/>
    </xf>
    <xf numFmtId="165" fontId="3" fillId="12" borderId="2" xfId="0" applyNumberFormat="1" applyFont="1" applyFill="1" applyBorder="1" applyAlignment="1">
      <alignment horizontal="right" vertical="center"/>
    </xf>
    <xf numFmtId="3" fontId="3" fillId="12" borderId="2" xfId="0" applyNumberFormat="1" applyFont="1" applyFill="1" applyBorder="1" applyAlignment="1">
      <alignment horizontal="right" vertical="center"/>
    </xf>
    <xf numFmtId="3" fontId="3" fillId="7" borderId="2" xfId="0" applyNumberFormat="1" applyFont="1" applyFill="1" applyBorder="1" applyAlignment="1">
      <alignment horizontal="right" vertical="center"/>
    </xf>
    <xf numFmtId="0" fontId="3" fillId="8" borderId="2" xfId="0" applyFont="1" applyFill="1" applyBorder="1" applyAlignment="1">
      <alignment horizontal="left" vertical="top" wrapText="1"/>
    </xf>
    <xf numFmtId="0" fontId="4" fillId="8" borderId="2" xfId="0" applyFont="1" applyFill="1" applyBorder="1" applyAlignment="1">
      <alignment horizontal="left" vertical="top" wrapText="1"/>
    </xf>
    <xf numFmtId="0" fontId="3" fillId="9" borderId="2" xfId="0" applyFont="1" applyFill="1" applyBorder="1" applyAlignment="1">
      <alignment horizontal="left" vertical="top" wrapText="1"/>
    </xf>
    <xf numFmtId="0" fontId="4" fillId="9"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4" fillId="10" borderId="2" xfId="0" applyFont="1" applyFill="1" applyBorder="1" applyAlignment="1">
      <alignment horizontal="left" vertical="top" wrapText="1"/>
    </xf>
    <xf numFmtId="0" fontId="3" fillId="11" borderId="2" xfId="0" applyFont="1" applyFill="1" applyBorder="1" applyAlignment="1">
      <alignment horizontal="left" vertical="top" wrapText="1"/>
    </xf>
    <xf numFmtId="0" fontId="4" fillId="11" borderId="2" xfId="0" applyFont="1" applyFill="1" applyBorder="1" applyAlignment="1">
      <alignment horizontal="left" vertical="top" wrapText="1"/>
    </xf>
    <xf numFmtId="0" fontId="10" fillId="3"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166" fontId="14" fillId="12" borderId="2" xfId="0" applyNumberFormat="1" applyFont="1" applyFill="1" applyBorder="1" applyAlignment="1">
      <alignment horizontal="right" vertical="center"/>
    </xf>
    <xf numFmtId="166" fontId="4" fillId="12" borderId="2" xfId="0" applyNumberFormat="1" applyFont="1" applyFill="1" applyBorder="1" applyAlignment="1">
      <alignment horizontal="right" vertical="center"/>
    </xf>
    <xf numFmtId="166" fontId="4" fillId="7" borderId="2" xfId="0" applyNumberFormat="1" applyFont="1" applyFill="1" applyBorder="1" applyAlignment="1">
      <alignment horizontal="right" vertical="center"/>
    </xf>
    <xf numFmtId="166" fontId="7" fillId="6" borderId="1" xfId="0" applyNumberFormat="1" applyFont="1" applyFill="1" applyBorder="1" applyAlignment="1">
      <alignment horizontal="right" vertical="center"/>
    </xf>
    <xf numFmtId="166" fontId="15" fillId="12" borderId="2" xfId="0" applyNumberFormat="1" applyFont="1" applyFill="1" applyBorder="1" applyAlignment="1">
      <alignment horizontal="right" vertical="center"/>
    </xf>
    <xf numFmtId="166" fontId="3" fillId="7" borderId="2" xfId="0" applyNumberFormat="1" applyFont="1" applyFill="1" applyBorder="1" applyAlignment="1">
      <alignment horizontal="right" vertical="center"/>
    </xf>
    <xf numFmtId="0" fontId="4" fillId="0" borderId="2" xfId="0" applyFont="1" applyBorder="1" applyAlignment="1">
      <alignment horizontal="left" vertical="center" wrapText="1"/>
    </xf>
    <xf numFmtId="0" fontId="3" fillId="6" borderId="1" xfId="0" applyFont="1" applyFill="1" applyBorder="1" applyAlignment="1">
      <alignment horizontal="left" vertical="center" wrapText="1"/>
    </xf>
    <xf numFmtId="166" fontId="3" fillId="6" borderId="1" xfId="0" applyNumberFormat="1" applyFont="1" applyFill="1" applyBorder="1" applyAlignment="1">
      <alignment horizontal="right" vertical="center"/>
    </xf>
    <xf numFmtId="166" fontId="15" fillId="7" borderId="2" xfId="0" applyNumberFormat="1" applyFont="1" applyFill="1" applyBorder="1" applyAlignment="1">
      <alignment horizontal="right" vertical="center"/>
    </xf>
    <xf numFmtId="2" fontId="7" fillId="6" borderId="1" xfId="0" applyNumberFormat="1" applyFont="1" applyFill="1" applyBorder="1" applyAlignment="1">
      <alignment horizontal="right" vertical="center"/>
    </xf>
    <xf numFmtId="167" fontId="7" fillId="6" borderId="1" xfId="0" applyNumberFormat="1" applyFont="1" applyFill="1" applyBorder="1" applyAlignment="1">
      <alignment horizontal="right" vertical="center"/>
    </xf>
    <xf numFmtId="165" fontId="4" fillId="7" borderId="2" xfId="0" applyNumberFormat="1" applyFont="1" applyFill="1" applyBorder="1" applyAlignment="1">
      <alignment horizontal="right" vertical="center"/>
    </xf>
    <xf numFmtId="165" fontId="7" fillId="6" borderId="1" xfId="0" applyNumberFormat="1" applyFont="1" applyFill="1" applyBorder="1" applyAlignment="1">
      <alignment horizontal="right" vertical="center"/>
    </xf>
    <xf numFmtId="165" fontId="4" fillId="12" borderId="2" xfId="0" applyNumberFormat="1" applyFont="1" applyFill="1" applyBorder="1" applyAlignment="1">
      <alignment horizontal="right" vertical="center"/>
    </xf>
    <xf numFmtId="166" fontId="17" fillId="12" borderId="2" xfId="0" applyNumberFormat="1" applyFont="1" applyFill="1" applyBorder="1" applyAlignment="1">
      <alignment horizontal="right" vertical="center"/>
    </xf>
    <xf numFmtId="0" fontId="18" fillId="7" borderId="2" xfId="0" applyFont="1" applyFill="1" applyBorder="1" applyAlignment="1">
      <alignment horizontal="left" vertical="center" wrapText="1"/>
    </xf>
    <xf numFmtId="166" fontId="19" fillId="7" borderId="2" xfId="0" applyNumberFormat="1" applyFont="1" applyFill="1" applyBorder="1" applyAlignment="1">
      <alignment horizontal="right" vertical="center"/>
    </xf>
    <xf numFmtId="0" fontId="18" fillId="12" borderId="2" xfId="0" applyFont="1" applyFill="1" applyBorder="1" applyAlignment="1">
      <alignment horizontal="left" vertical="center" wrapText="1"/>
    </xf>
    <xf numFmtId="166" fontId="19" fillId="12" borderId="2" xfId="0" applyNumberFormat="1" applyFont="1" applyFill="1" applyBorder="1" applyAlignment="1">
      <alignment horizontal="right" vertical="center"/>
    </xf>
    <xf numFmtId="166" fontId="20" fillId="6" borderId="1" xfId="0" applyNumberFormat="1" applyFont="1" applyFill="1" applyBorder="1" applyAlignment="1">
      <alignment horizontal="right" vertical="center"/>
    </xf>
    <xf numFmtId="0" fontId="21" fillId="3" borderId="2" xfId="0" applyFont="1" applyFill="1" applyBorder="1" applyAlignment="1">
      <alignment horizontal="center" vertical="center" wrapText="1"/>
    </xf>
    <xf numFmtId="166" fontId="4" fillId="0" borderId="2" xfId="0" applyNumberFormat="1" applyFont="1" applyBorder="1" applyAlignment="1">
      <alignment horizontal="right" vertical="center"/>
    </xf>
    <xf numFmtId="0" fontId="0" fillId="3" borderId="2" xfId="0" applyFill="1" applyBorder="1"/>
    <xf numFmtId="0" fontId="7" fillId="12" borderId="2" xfId="0" applyFont="1" applyFill="1" applyBorder="1" applyAlignment="1">
      <alignment horizontal="left" vertical="center" wrapText="1"/>
    </xf>
    <xf numFmtId="164" fontId="22" fillId="12" borderId="2" xfId="0" applyNumberFormat="1" applyFont="1" applyFill="1" applyBorder="1" applyAlignment="1">
      <alignment horizontal="right" vertical="center"/>
    </xf>
    <xf numFmtId="0" fontId="0" fillId="12" borderId="2" xfId="0" applyFill="1" applyBorder="1"/>
    <xf numFmtId="0" fontId="23" fillId="1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164" fontId="22" fillId="7" borderId="2" xfId="0" applyNumberFormat="1" applyFont="1" applyFill="1" applyBorder="1" applyAlignment="1">
      <alignment horizontal="right" vertical="center"/>
    </xf>
    <xf numFmtId="0" fontId="0" fillId="7" borderId="2" xfId="0" applyFill="1" applyBorder="1"/>
    <xf numFmtId="0" fontId="23" fillId="7" borderId="2" xfId="0" applyFont="1" applyFill="1" applyBorder="1" applyAlignment="1">
      <alignment horizontal="left" vertical="center" wrapText="1"/>
    </xf>
    <xf numFmtId="165" fontId="22" fillId="12" borderId="2" xfId="0" applyNumberFormat="1" applyFont="1" applyFill="1" applyBorder="1" applyAlignment="1">
      <alignment horizontal="right" vertical="center"/>
    </xf>
    <xf numFmtId="167" fontId="22" fillId="7" borderId="2" xfId="0" applyNumberFormat="1" applyFont="1" applyFill="1" applyBorder="1" applyAlignment="1">
      <alignment horizontal="right" vertical="center"/>
    </xf>
    <xf numFmtId="2" fontId="22" fillId="12" borderId="2" xfId="0" applyNumberFormat="1" applyFont="1" applyFill="1" applyBorder="1" applyAlignment="1">
      <alignment horizontal="right" vertical="center"/>
    </xf>
    <xf numFmtId="165" fontId="22" fillId="7" borderId="2" xfId="0" applyNumberFormat="1" applyFont="1" applyFill="1" applyBorder="1" applyAlignment="1">
      <alignment horizontal="right" vertical="center"/>
    </xf>
    <xf numFmtId="0" fontId="7" fillId="0" borderId="2" xfId="0" applyFont="1" applyBorder="1" applyAlignment="1">
      <alignment horizontal="left" vertical="center" wrapText="1"/>
    </xf>
    <xf numFmtId="164" fontId="22" fillId="0" borderId="2" xfId="0" applyNumberFormat="1" applyFont="1" applyBorder="1" applyAlignment="1">
      <alignment horizontal="right" vertical="center"/>
    </xf>
    <xf numFmtId="0" fontId="23" fillId="0" borderId="2" xfId="0" applyFont="1" applyBorder="1" applyAlignment="1">
      <alignment horizontal="left" vertical="center" wrapText="1"/>
    </xf>
    <xf numFmtId="164" fontId="7" fillId="6" borderId="1" xfId="0" applyNumberFormat="1" applyFont="1" applyFill="1" applyBorder="1" applyAlignment="1">
      <alignment horizontal="right" vertical="center"/>
    </xf>
    <xf numFmtId="0" fontId="23" fillId="6"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6" fillId="4" borderId="0" xfId="0" applyFont="1" applyFill="1" applyAlignment="1">
      <alignment horizontal="left" vertical="center" wrapText="1"/>
    </xf>
    <xf numFmtId="0" fontId="10" fillId="3" borderId="0" xfId="0" applyFont="1" applyFill="1" applyAlignment="1">
      <alignment horizontal="left" vertical="center" wrapText="1"/>
    </xf>
    <xf numFmtId="0" fontId="5" fillId="2" borderId="0" xfId="0" applyFont="1" applyFill="1" applyAlignment="1">
      <alignment horizontal="center" vertical="center" wrapText="1"/>
    </xf>
    <xf numFmtId="0" fontId="9" fillId="6" borderId="1" xfId="0" applyFont="1" applyFill="1" applyBorder="1" applyAlignment="1">
      <alignment horizontal="center" vertical="center" wrapText="1"/>
    </xf>
    <xf numFmtId="0" fontId="13" fillId="2" borderId="0" xfId="0" applyFont="1" applyFill="1" applyAlignment="1">
      <alignment horizontal="left" vertical="center" wrapText="1"/>
    </xf>
    <xf numFmtId="0" fontId="6" fillId="3" borderId="0" xfId="0" applyFont="1" applyFill="1" applyAlignment="1">
      <alignment horizontal="left" vertical="center" wrapText="1"/>
    </xf>
    <xf numFmtId="0" fontId="6" fillId="2" borderId="0" xfId="0" applyFont="1" applyFill="1" applyAlignment="1">
      <alignment horizontal="left" vertical="center" wrapText="1"/>
    </xf>
    <xf numFmtId="0" fontId="16" fillId="3" borderId="0" xfId="0" applyFont="1" applyFill="1" applyAlignment="1">
      <alignment horizontal="center" vertical="center" wrapText="1"/>
    </xf>
    <xf numFmtId="0" fontId="15" fillId="0" borderId="0" xfId="0" applyFont="1" applyAlignment="1">
      <alignment horizontal="left" vertical="top"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D6A4F"/>
      <rgbColor rgb="FFC0C0C0"/>
      <rgbColor rgb="FF808080"/>
      <rgbColor rgb="FF9999FF"/>
      <rgbColor rgb="FF993366"/>
      <rgbColor rgb="FFFFF8E1"/>
      <rgbColor rgb="FFE1F5FE"/>
      <rgbColor rgb="FF660066"/>
      <rgbColor rgb="FFFF8080"/>
      <rgbColor rgb="FF0066CC"/>
      <rgbColor rgb="FFFCE4EC"/>
      <rgbColor rgb="FF000080"/>
      <rgbColor rgb="FFFF00FF"/>
      <rgbColor rgb="FFFFFF00"/>
      <rgbColor rgb="FF00FFFF"/>
      <rgbColor rgb="FF800080"/>
      <rgbColor rgb="FF800000"/>
      <rgbColor rgb="FF008080"/>
      <rgbColor rgb="FF0000FF"/>
      <rgbColor rgb="FF00CCFF"/>
      <rgbColor rgb="FFE8F5E9"/>
      <rgbColor rgb="FFD8F3DC"/>
      <rgbColor rgb="FFF0FAF3"/>
      <rgbColor rgb="FF99CCFF"/>
      <rgbColor rgb="FFFF99CC"/>
      <rgbColor rgb="FFCC99FF"/>
      <rgbColor rgb="FFFFCC99"/>
      <rgbColor rgb="FF3366FF"/>
      <rgbColor rgb="FF33CCCC"/>
      <rgbColor rgb="FF99CC00"/>
      <rgbColor rgb="FFFFCC00"/>
      <rgbColor rgb="FFFF9900"/>
      <rgbColor rgb="FFFF6600"/>
      <rgbColor rgb="FF666699"/>
      <rgbColor rgb="FF969696"/>
      <rgbColor rgb="FF1A365D"/>
      <rgbColor rgb="FF339966"/>
      <rgbColor rgb="FF003300"/>
      <rgbColor rgb="FF1B4332"/>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0"/>
  <sheetViews>
    <sheetView showGridLines="0" tabSelected="1" zoomScaleNormal="100" workbookViewId="0">
      <selection activeCell="H6" sqref="H6"/>
    </sheetView>
  </sheetViews>
  <sheetFormatPr defaultColWidth="8.7109375" defaultRowHeight="15" x14ac:dyDescent="0.25"/>
  <cols>
    <col min="1" max="1" width="3" customWidth="1"/>
    <col min="2" max="2" width="28" customWidth="1"/>
    <col min="3" max="3" width="78" customWidth="1"/>
  </cols>
  <sheetData>
    <row r="1" spans="2:3" ht="36" customHeight="1" x14ac:dyDescent="0.25">
      <c r="B1" s="86" t="s">
        <v>0</v>
      </c>
      <c r="C1" s="86"/>
    </row>
    <row r="2" spans="2:3" ht="21.75" customHeight="1" x14ac:dyDescent="0.25">
      <c r="B2" s="87" t="s">
        <v>1</v>
      </c>
      <c r="C2" s="87"/>
    </row>
    <row r="4" spans="2:3" ht="51" x14ac:dyDescent="0.25">
      <c r="B4" s="1" t="s">
        <v>2</v>
      </c>
      <c r="C4" s="2" t="s">
        <v>3</v>
      </c>
    </row>
    <row r="6" spans="2:3" ht="103.5" customHeight="1" x14ac:dyDescent="0.25">
      <c r="B6" s="1" t="s">
        <v>4</v>
      </c>
      <c r="C6" s="2" t="s">
        <v>5</v>
      </c>
    </row>
    <row r="8" spans="2:3" ht="145.5" customHeight="1" x14ac:dyDescent="0.25">
      <c r="B8" s="1" t="s">
        <v>6</v>
      </c>
      <c r="C8" s="2" t="s">
        <v>7</v>
      </c>
    </row>
    <row r="10" spans="2:3" ht="90" customHeight="1" x14ac:dyDescent="0.25">
      <c r="B10" s="1" t="s">
        <v>8</v>
      </c>
      <c r="C10" s="2" t="s">
        <v>9</v>
      </c>
    </row>
    <row r="12" spans="2:3" ht="117.75" customHeight="1" x14ac:dyDescent="0.25">
      <c r="B12" s="1" t="s">
        <v>10</v>
      </c>
      <c r="C12" s="2" t="s">
        <v>11</v>
      </c>
    </row>
    <row r="14" spans="2:3" ht="75.75" customHeight="1" x14ac:dyDescent="0.25">
      <c r="B14" s="1" t="s">
        <v>12</v>
      </c>
      <c r="C14" s="2" t="s">
        <v>13</v>
      </c>
    </row>
    <row r="16" spans="2:3" ht="75.75" customHeight="1" x14ac:dyDescent="0.25">
      <c r="B16" s="1" t="s">
        <v>14</v>
      </c>
      <c r="C16" s="2" t="s">
        <v>15</v>
      </c>
    </row>
    <row r="18" spans="2:3" ht="75.75" customHeight="1" x14ac:dyDescent="0.25">
      <c r="B18" s="1" t="s">
        <v>16</v>
      </c>
      <c r="C18" s="2" t="s">
        <v>17</v>
      </c>
    </row>
    <row r="20" spans="2:3" ht="103.5" customHeight="1" x14ac:dyDescent="0.25">
      <c r="B20" s="1" t="s">
        <v>18</v>
      </c>
      <c r="C20" s="2" t="s">
        <v>19</v>
      </c>
    </row>
  </sheetData>
  <mergeCells count="2">
    <mergeCell ref="B1:C1"/>
    <mergeCell ref="B2:C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9"/>
  <sheetViews>
    <sheetView showGridLines="0" zoomScaleNormal="100" workbookViewId="0">
      <selection activeCell="C14" sqref="C14"/>
    </sheetView>
  </sheetViews>
  <sheetFormatPr defaultColWidth="8.7109375" defaultRowHeight="15" x14ac:dyDescent="0.25"/>
  <cols>
    <col min="1" max="1" width="3" customWidth="1"/>
    <col min="2" max="2" width="36" customWidth="1"/>
    <col min="3" max="6" width="16" customWidth="1"/>
    <col min="7" max="7" width="40" customWidth="1"/>
  </cols>
  <sheetData>
    <row r="1" spans="2:7" ht="31.5" customHeight="1" x14ac:dyDescent="0.25">
      <c r="B1" s="90" t="s">
        <v>20</v>
      </c>
      <c r="C1" s="90"/>
      <c r="D1" s="90"/>
      <c r="E1" s="90"/>
      <c r="F1" s="90"/>
      <c r="G1" s="90"/>
    </row>
    <row r="2" spans="2:7" ht="15" customHeight="1" x14ac:dyDescent="0.25">
      <c r="B2" s="87" t="s">
        <v>21</v>
      </c>
      <c r="C2" s="87"/>
      <c r="D2" s="87"/>
      <c r="E2" s="87"/>
      <c r="F2" s="87"/>
      <c r="G2" s="87"/>
    </row>
    <row r="4" spans="2:7" ht="21.75" customHeight="1" x14ac:dyDescent="0.25">
      <c r="B4" s="88" t="s">
        <v>22</v>
      </c>
      <c r="C4" s="88"/>
      <c r="D4" s="88"/>
      <c r="E4" s="88"/>
      <c r="F4" s="88"/>
      <c r="G4" s="88"/>
    </row>
    <row r="5" spans="2:7" ht="25.5" customHeight="1" x14ac:dyDescent="0.25">
      <c r="B5" s="3" t="s">
        <v>23</v>
      </c>
      <c r="C5" s="4">
        <v>1</v>
      </c>
      <c r="D5" s="91" t="str">
        <f>CHOOSE(C5,"BASE","DEMAND SURGE","SUPPLY SQUEEZE","SOFT LANDING")</f>
        <v>BASE</v>
      </c>
      <c r="E5" s="91"/>
      <c r="F5" s="91"/>
      <c r="G5" s="91"/>
    </row>
    <row r="7" spans="2:7" ht="21.75" customHeight="1" x14ac:dyDescent="0.25">
      <c r="B7" s="5" t="s">
        <v>24</v>
      </c>
      <c r="C7" s="5" t="s">
        <v>25</v>
      </c>
      <c r="D7" s="5" t="s">
        <v>26</v>
      </c>
      <c r="E7" s="5" t="s">
        <v>27</v>
      </c>
      <c r="F7" s="5" t="s">
        <v>28</v>
      </c>
      <c r="G7" s="5" t="s">
        <v>29</v>
      </c>
    </row>
    <row r="8" spans="2:7" ht="19.5" customHeight="1" x14ac:dyDescent="0.25">
      <c r="B8" s="89" t="s">
        <v>30</v>
      </c>
      <c r="C8" s="89"/>
      <c r="D8" s="89"/>
      <c r="E8" s="89"/>
      <c r="F8" s="89"/>
      <c r="G8" s="89"/>
    </row>
    <row r="9" spans="2:7" ht="21.75" customHeight="1" x14ac:dyDescent="0.25">
      <c r="B9" s="6" t="s">
        <v>31</v>
      </c>
      <c r="C9" s="7">
        <v>1500000</v>
      </c>
      <c r="D9" s="8">
        <v>1500000</v>
      </c>
      <c r="E9" s="9">
        <v>1500000</v>
      </c>
      <c r="F9" s="10">
        <v>1500000</v>
      </c>
      <c r="G9" s="11" t="s">
        <v>32</v>
      </c>
    </row>
    <row r="10" spans="2:7" ht="21.75" customHeight="1" x14ac:dyDescent="0.25">
      <c r="B10" s="12" t="s">
        <v>33</v>
      </c>
      <c r="C10" s="7">
        <v>900000</v>
      </c>
      <c r="D10" s="8">
        <v>1260000</v>
      </c>
      <c r="E10" s="9">
        <v>900000</v>
      </c>
      <c r="F10" s="10">
        <v>720000</v>
      </c>
      <c r="G10" s="13" t="s">
        <v>34</v>
      </c>
    </row>
    <row r="11" spans="2:7" ht="21.75" customHeight="1" x14ac:dyDescent="0.25">
      <c r="B11" s="6" t="s">
        <v>35</v>
      </c>
      <c r="C11" s="14">
        <v>3</v>
      </c>
      <c r="D11" s="15">
        <v>4</v>
      </c>
      <c r="E11" s="16">
        <v>5</v>
      </c>
      <c r="F11" s="17">
        <v>3</v>
      </c>
      <c r="G11" s="11" t="s">
        <v>36</v>
      </c>
    </row>
    <row r="12" spans="2:7" ht="21.75" customHeight="1" x14ac:dyDescent="0.25">
      <c r="B12" s="12" t="s">
        <v>37</v>
      </c>
      <c r="C12" s="18">
        <v>0.32</v>
      </c>
      <c r="D12" s="19">
        <v>0.3</v>
      </c>
      <c r="E12" s="20">
        <v>0.26</v>
      </c>
      <c r="F12" s="21">
        <v>0.32</v>
      </c>
      <c r="G12" s="13" t="s">
        <v>38</v>
      </c>
    </row>
    <row r="13" spans="2:7" ht="19.5" customHeight="1" x14ac:dyDescent="0.25">
      <c r="B13" s="89" t="s">
        <v>39</v>
      </c>
      <c r="C13" s="89"/>
      <c r="D13" s="89"/>
      <c r="E13" s="89"/>
      <c r="F13" s="89"/>
      <c r="G13" s="89"/>
    </row>
    <row r="14" spans="2:7" ht="21.75" customHeight="1" x14ac:dyDescent="0.25">
      <c r="B14" s="12" t="s">
        <v>40</v>
      </c>
      <c r="C14" s="7">
        <v>8500000</v>
      </c>
      <c r="D14" s="8">
        <v>8500000</v>
      </c>
      <c r="E14" s="9">
        <v>8500000</v>
      </c>
      <c r="F14" s="10">
        <v>8500000</v>
      </c>
      <c r="G14" s="13" t="s">
        <v>32</v>
      </c>
    </row>
    <row r="15" spans="2:7" ht="21.75" customHeight="1" x14ac:dyDescent="0.25">
      <c r="B15" s="6" t="s">
        <v>33</v>
      </c>
      <c r="C15" s="7">
        <v>1100000</v>
      </c>
      <c r="D15" s="8">
        <v>1540000</v>
      </c>
      <c r="E15" s="9">
        <v>1100000</v>
      </c>
      <c r="F15" s="10">
        <v>880000</v>
      </c>
      <c r="G15" s="11" t="s">
        <v>41</v>
      </c>
    </row>
    <row r="16" spans="2:7" ht="21.75" customHeight="1" x14ac:dyDescent="0.25">
      <c r="B16" s="12" t="s">
        <v>42</v>
      </c>
      <c r="C16" s="14">
        <v>14</v>
      </c>
      <c r="D16" s="15">
        <v>18</v>
      </c>
      <c r="E16" s="16">
        <v>20</v>
      </c>
      <c r="F16" s="17">
        <v>14</v>
      </c>
      <c r="G16" s="13" t="s">
        <v>43</v>
      </c>
    </row>
    <row r="17" spans="2:7" ht="21.75" customHeight="1" x14ac:dyDescent="0.25">
      <c r="B17" s="6" t="s">
        <v>44</v>
      </c>
      <c r="C17" s="18">
        <v>0.38</v>
      </c>
      <c r="D17" s="19">
        <v>0.36</v>
      </c>
      <c r="E17" s="20">
        <v>0.3</v>
      </c>
      <c r="F17" s="21">
        <v>0.38</v>
      </c>
      <c r="G17" s="11" t="s">
        <v>45</v>
      </c>
    </row>
    <row r="18" spans="2:7" ht="21.75" customHeight="1" x14ac:dyDescent="0.25">
      <c r="B18" s="12" t="s">
        <v>46</v>
      </c>
      <c r="C18" s="18">
        <v>0.03</v>
      </c>
      <c r="D18" s="19">
        <v>0.03</v>
      </c>
      <c r="E18" s="20">
        <v>0.04</v>
      </c>
      <c r="F18" s="21">
        <v>0.03</v>
      </c>
      <c r="G18" s="13" t="s">
        <v>47</v>
      </c>
    </row>
    <row r="19" spans="2:7" ht="19.5" customHeight="1" x14ac:dyDescent="0.25">
      <c r="B19" s="89" t="s">
        <v>48</v>
      </c>
      <c r="C19" s="89"/>
      <c r="D19" s="89"/>
      <c r="E19" s="89"/>
      <c r="F19" s="89"/>
      <c r="G19" s="89"/>
    </row>
    <row r="20" spans="2:7" ht="21.75" customHeight="1" x14ac:dyDescent="0.25">
      <c r="B20" s="12" t="s">
        <v>49</v>
      </c>
      <c r="C20" s="7">
        <v>2200000</v>
      </c>
      <c r="D20" s="8">
        <v>2200000</v>
      </c>
      <c r="E20" s="9">
        <v>2200000</v>
      </c>
      <c r="F20" s="10">
        <v>2200000</v>
      </c>
      <c r="G20" s="13" t="s">
        <v>50</v>
      </c>
    </row>
    <row r="21" spans="2:7" ht="21.75" customHeight="1" x14ac:dyDescent="0.25">
      <c r="B21" s="6" t="s">
        <v>51</v>
      </c>
      <c r="C21" s="18">
        <v>0.18</v>
      </c>
      <c r="D21" s="19">
        <v>0.18</v>
      </c>
      <c r="E21" s="20">
        <v>0.2</v>
      </c>
      <c r="F21" s="21">
        <v>0.18</v>
      </c>
      <c r="G21" s="11" t="s">
        <v>52</v>
      </c>
    </row>
    <row r="22" spans="2:7" ht="21.75" customHeight="1" x14ac:dyDescent="0.25">
      <c r="B22" s="12" t="s">
        <v>53</v>
      </c>
      <c r="C22" s="7">
        <v>250000</v>
      </c>
      <c r="D22" s="8">
        <v>280000</v>
      </c>
      <c r="E22" s="9">
        <v>270000</v>
      </c>
      <c r="F22" s="10">
        <v>250000</v>
      </c>
      <c r="G22" s="13" t="s">
        <v>54</v>
      </c>
    </row>
    <row r="23" spans="2:7" ht="19.5" customHeight="1" x14ac:dyDescent="0.25">
      <c r="B23" s="89" t="s">
        <v>55</v>
      </c>
      <c r="C23" s="89"/>
      <c r="D23" s="89"/>
      <c r="E23" s="89"/>
      <c r="F23" s="89"/>
      <c r="G23" s="89"/>
    </row>
    <row r="24" spans="2:7" ht="21.75" customHeight="1" x14ac:dyDescent="0.25">
      <c r="B24" s="12" t="s">
        <v>56</v>
      </c>
      <c r="C24" s="18">
        <v>0.42</v>
      </c>
      <c r="D24" s="19">
        <v>0.42</v>
      </c>
      <c r="E24" s="20">
        <v>0.52</v>
      </c>
      <c r="F24" s="21">
        <v>0.42</v>
      </c>
      <c r="G24" s="13" t="s">
        <v>57</v>
      </c>
    </row>
    <row r="25" spans="2:7" ht="21.75" customHeight="1" x14ac:dyDescent="0.25">
      <c r="B25" s="6" t="s">
        <v>58</v>
      </c>
      <c r="C25" s="18">
        <v>5.0000000000000001E-3</v>
      </c>
      <c r="D25" s="19">
        <v>5.0000000000000001E-3</v>
      </c>
      <c r="E25" s="20">
        <v>0.02</v>
      </c>
      <c r="F25" s="21">
        <v>5.0000000000000001E-3</v>
      </c>
      <c r="G25" s="11" t="s">
        <v>59</v>
      </c>
    </row>
    <row r="26" spans="2:7" ht="19.5" customHeight="1" x14ac:dyDescent="0.25">
      <c r="B26" s="89" t="s">
        <v>60</v>
      </c>
      <c r="C26" s="89"/>
      <c r="D26" s="89"/>
      <c r="E26" s="89"/>
      <c r="F26" s="89"/>
      <c r="G26" s="89"/>
    </row>
    <row r="27" spans="2:7" ht="21.75" customHeight="1" x14ac:dyDescent="0.25">
      <c r="B27" s="6" t="s">
        <v>61</v>
      </c>
      <c r="C27" s="22">
        <v>55</v>
      </c>
      <c r="D27" s="23">
        <v>60</v>
      </c>
      <c r="E27" s="24">
        <v>55</v>
      </c>
      <c r="F27" s="25">
        <v>65</v>
      </c>
      <c r="G27" s="11" t="s">
        <v>62</v>
      </c>
    </row>
    <row r="28" spans="2:7" ht="21.75" customHeight="1" x14ac:dyDescent="0.25">
      <c r="B28" s="12" t="s">
        <v>63</v>
      </c>
      <c r="C28" s="22">
        <v>42</v>
      </c>
      <c r="D28" s="23">
        <v>42</v>
      </c>
      <c r="E28" s="24">
        <v>30</v>
      </c>
      <c r="F28" s="25">
        <v>42</v>
      </c>
      <c r="G28" s="13" t="s">
        <v>64</v>
      </c>
    </row>
    <row r="29" spans="2:7" ht="21.75" customHeight="1" x14ac:dyDescent="0.25">
      <c r="B29" s="6" t="s">
        <v>65</v>
      </c>
      <c r="C29" s="22">
        <v>68</v>
      </c>
      <c r="D29" s="23">
        <v>80</v>
      </c>
      <c r="E29" s="24">
        <v>95</v>
      </c>
      <c r="F29" s="25">
        <v>72</v>
      </c>
      <c r="G29" s="11" t="s">
        <v>66</v>
      </c>
    </row>
    <row r="30" spans="2:7" ht="21.75" customHeight="1" x14ac:dyDescent="0.25">
      <c r="B30" s="12" t="s">
        <v>67</v>
      </c>
      <c r="C30" s="18">
        <v>0.2</v>
      </c>
      <c r="D30" s="19">
        <v>0.25</v>
      </c>
      <c r="E30" s="20">
        <v>0.2</v>
      </c>
      <c r="F30" s="21">
        <v>0.15</v>
      </c>
      <c r="G30" s="13" t="s">
        <v>68</v>
      </c>
    </row>
    <row r="31" spans="2:7" ht="19.5" customHeight="1" x14ac:dyDescent="0.25">
      <c r="B31" s="89" t="s">
        <v>69</v>
      </c>
      <c r="C31" s="89"/>
      <c r="D31" s="89"/>
      <c r="E31" s="89"/>
      <c r="F31" s="89"/>
      <c r="G31" s="89"/>
    </row>
    <row r="32" spans="2:7" ht="21.75" customHeight="1" x14ac:dyDescent="0.25">
      <c r="B32" s="12" t="s">
        <v>70</v>
      </c>
      <c r="C32" s="7">
        <v>380000</v>
      </c>
      <c r="D32" s="8">
        <v>400000</v>
      </c>
      <c r="E32" s="9">
        <v>400000</v>
      </c>
      <c r="F32" s="10">
        <v>380000</v>
      </c>
      <c r="G32" s="13" t="s">
        <v>71</v>
      </c>
    </row>
    <row r="33" spans="2:7" ht="21.75" customHeight="1" x14ac:dyDescent="0.25">
      <c r="B33" s="6" t="s">
        <v>72</v>
      </c>
      <c r="C33" s="7">
        <v>35000</v>
      </c>
      <c r="D33" s="8">
        <v>45000</v>
      </c>
      <c r="E33" s="9">
        <v>50000</v>
      </c>
      <c r="F33" s="10">
        <v>40000</v>
      </c>
      <c r="G33" s="11" t="s">
        <v>73</v>
      </c>
    </row>
    <row r="34" spans="2:7" ht="21.75" customHeight="1" x14ac:dyDescent="0.25">
      <c r="B34" s="12" t="s">
        <v>74</v>
      </c>
      <c r="C34" s="18">
        <v>0.26500000000000001</v>
      </c>
      <c r="D34" s="19">
        <v>0.26500000000000001</v>
      </c>
      <c r="E34" s="20">
        <v>0.26500000000000001</v>
      </c>
      <c r="F34" s="21">
        <v>0.26500000000000001</v>
      </c>
      <c r="G34" s="13" t="s">
        <v>75</v>
      </c>
    </row>
    <row r="37" spans="2:7" ht="21.75" customHeight="1" x14ac:dyDescent="0.25">
      <c r="B37" s="88" t="s">
        <v>76</v>
      </c>
      <c r="C37" s="88"/>
      <c r="D37" s="88"/>
      <c r="E37" s="88"/>
      <c r="F37" s="88"/>
      <c r="G37" s="88"/>
    </row>
    <row r="38" spans="2:7" ht="15" customHeight="1" x14ac:dyDescent="0.25">
      <c r="B38" s="5" t="s">
        <v>24</v>
      </c>
      <c r="C38" s="5" t="s">
        <v>77</v>
      </c>
      <c r="D38" s="5" t="s">
        <v>78</v>
      </c>
    </row>
    <row r="39" spans="2:7" ht="19.5" customHeight="1" x14ac:dyDescent="0.25">
      <c r="B39" s="12" t="s">
        <v>31</v>
      </c>
      <c r="C39" s="26">
        <f>CHOOSE($C$5,C9,D9,E9,F9)</f>
        <v>1500000</v>
      </c>
      <c r="D39" s="27" t="s">
        <v>79</v>
      </c>
    </row>
    <row r="40" spans="2:7" ht="19.5" customHeight="1" x14ac:dyDescent="0.25">
      <c r="B40" s="6" t="s">
        <v>80</v>
      </c>
      <c r="C40" s="28">
        <f>CHOOSE($C$5,C10,D10,E10,F10)</f>
        <v>900000</v>
      </c>
      <c r="D40" s="29" t="s">
        <v>81</v>
      </c>
    </row>
    <row r="41" spans="2:7" ht="19.5" customHeight="1" x14ac:dyDescent="0.25">
      <c r="B41" s="12" t="s">
        <v>35</v>
      </c>
      <c r="C41" s="30">
        <f>CHOOSE($C$5,C11,D11,E11,F11)</f>
        <v>3</v>
      </c>
      <c r="D41" s="27" t="s">
        <v>82</v>
      </c>
    </row>
    <row r="42" spans="2:7" ht="19.5" customHeight="1" x14ac:dyDescent="0.25">
      <c r="B42" s="6" t="s">
        <v>37</v>
      </c>
      <c r="C42" s="31">
        <f>CHOOSE($C$5,C12,D12,E12,F12)</f>
        <v>0.32</v>
      </c>
      <c r="D42" s="29" t="s">
        <v>83</v>
      </c>
    </row>
    <row r="43" spans="2:7" ht="19.5" customHeight="1" x14ac:dyDescent="0.25">
      <c r="B43" s="12" t="s">
        <v>40</v>
      </c>
      <c r="C43" s="26">
        <f>CHOOSE($C$5,C14,D14,E14,F14)</f>
        <v>8500000</v>
      </c>
      <c r="D43" s="27" t="s">
        <v>84</v>
      </c>
    </row>
    <row r="44" spans="2:7" ht="19.5" customHeight="1" x14ac:dyDescent="0.25">
      <c r="B44" s="6" t="s">
        <v>85</v>
      </c>
      <c r="C44" s="28">
        <f>CHOOSE($C$5,C15,D15,E15,F15)</f>
        <v>1100000</v>
      </c>
      <c r="D44" s="29" t="s">
        <v>86</v>
      </c>
    </row>
    <row r="45" spans="2:7" ht="19.5" customHeight="1" x14ac:dyDescent="0.25">
      <c r="B45" s="12" t="s">
        <v>42</v>
      </c>
      <c r="C45" s="30">
        <f>CHOOSE($C$5,C16,D16,E16,F16)</f>
        <v>14</v>
      </c>
      <c r="D45" s="27" t="s">
        <v>87</v>
      </c>
    </row>
    <row r="46" spans="2:7" ht="19.5" customHeight="1" x14ac:dyDescent="0.25">
      <c r="B46" s="6" t="s">
        <v>44</v>
      </c>
      <c r="C46" s="31">
        <f>CHOOSE($C$5,C17,D17,E17,F17)</f>
        <v>0.38</v>
      </c>
      <c r="D46" s="29" t="s">
        <v>88</v>
      </c>
    </row>
    <row r="47" spans="2:7" ht="19.5" customHeight="1" x14ac:dyDescent="0.25">
      <c r="B47" s="12" t="s">
        <v>46</v>
      </c>
      <c r="C47" s="32">
        <f>CHOOSE($C$5,C18,D18,E18,F18)</f>
        <v>0.03</v>
      </c>
      <c r="D47" s="27" t="s">
        <v>89</v>
      </c>
    </row>
    <row r="48" spans="2:7" ht="19.5" customHeight="1" x14ac:dyDescent="0.25">
      <c r="B48" s="6" t="s">
        <v>49</v>
      </c>
      <c r="C48" s="28">
        <f>CHOOSE($C$5,C20,D20,E20,F20)</f>
        <v>2200000</v>
      </c>
      <c r="D48" s="29" t="s">
        <v>90</v>
      </c>
    </row>
    <row r="49" spans="2:4" ht="19.5" customHeight="1" x14ac:dyDescent="0.25">
      <c r="B49" s="12" t="s">
        <v>51</v>
      </c>
      <c r="C49" s="32">
        <f>CHOOSE($C$5,C21,D21,E21,F21)</f>
        <v>0.18</v>
      </c>
      <c r="D49" s="27" t="s">
        <v>91</v>
      </c>
    </row>
    <row r="50" spans="2:4" ht="19.5" customHeight="1" x14ac:dyDescent="0.25">
      <c r="B50" s="6" t="s">
        <v>53</v>
      </c>
      <c r="C50" s="28">
        <f>CHOOSE($C$5,C22,D22,E22,F22)</f>
        <v>250000</v>
      </c>
      <c r="D50" s="29" t="s">
        <v>92</v>
      </c>
    </row>
    <row r="51" spans="2:4" ht="19.5" customHeight="1" x14ac:dyDescent="0.25">
      <c r="B51" s="12" t="s">
        <v>93</v>
      </c>
      <c r="C51" s="32">
        <f>CHOOSE($C$5,C24,D24,E24,F24)</f>
        <v>0.42</v>
      </c>
      <c r="D51" s="27" t="s">
        <v>94</v>
      </c>
    </row>
    <row r="52" spans="2:4" ht="19.5" customHeight="1" x14ac:dyDescent="0.25">
      <c r="B52" s="6" t="s">
        <v>95</v>
      </c>
      <c r="C52" s="31">
        <f>CHOOSE($C$5,C25,D25,E25,F25)</f>
        <v>5.0000000000000001E-3</v>
      </c>
      <c r="D52" s="29" t="s">
        <v>96</v>
      </c>
    </row>
    <row r="53" spans="2:4" ht="19.5" customHeight="1" x14ac:dyDescent="0.25">
      <c r="B53" s="12" t="s">
        <v>97</v>
      </c>
      <c r="C53" s="33">
        <f>CHOOSE($C$5,C27,D27,E27,F27)</f>
        <v>55</v>
      </c>
      <c r="D53" s="27" t="s">
        <v>98</v>
      </c>
    </row>
    <row r="54" spans="2:4" ht="19.5" customHeight="1" x14ac:dyDescent="0.25">
      <c r="B54" s="6" t="s">
        <v>99</v>
      </c>
      <c r="C54" s="34">
        <f>CHOOSE($C$5,C28,D28,E28,F28)</f>
        <v>42</v>
      </c>
      <c r="D54" s="29" t="s">
        <v>100</v>
      </c>
    </row>
    <row r="55" spans="2:4" ht="19.5" customHeight="1" x14ac:dyDescent="0.25">
      <c r="B55" s="12" t="s">
        <v>65</v>
      </c>
      <c r="C55" s="33">
        <f>CHOOSE($C$5,C29,D29,E29,F29)</f>
        <v>68</v>
      </c>
      <c r="D55" s="27" t="s">
        <v>101</v>
      </c>
    </row>
    <row r="56" spans="2:4" ht="19.5" customHeight="1" x14ac:dyDescent="0.25">
      <c r="B56" s="6" t="s">
        <v>67</v>
      </c>
      <c r="C56" s="31">
        <f>CHOOSE($C$5,C30,D30,E30,F30)</f>
        <v>0.2</v>
      </c>
      <c r="D56" s="29" t="s">
        <v>102</v>
      </c>
    </row>
    <row r="57" spans="2:4" ht="19.5" customHeight="1" x14ac:dyDescent="0.25">
      <c r="B57" s="12" t="s">
        <v>70</v>
      </c>
      <c r="C57" s="26">
        <f>CHOOSE($C$5,C32,D32,E32,F32)</f>
        <v>380000</v>
      </c>
      <c r="D57" s="27" t="s">
        <v>103</v>
      </c>
    </row>
    <row r="58" spans="2:4" ht="19.5" customHeight="1" x14ac:dyDescent="0.25">
      <c r="B58" s="6" t="s">
        <v>72</v>
      </c>
      <c r="C58" s="28">
        <f>CHOOSE($C$5,C33,D33,E33,F33)</f>
        <v>35000</v>
      </c>
      <c r="D58" s="29" t="s">
        <v>104</v>
      </c>
    </row>
    <row r="59" spans="2:4" ht="19.5" customHeight="1" x14ac:dyDescent="0.25">
      <c r="B59" s="12" t="s">
        <v>74</v>
      </c>
      <c r="C59" s="32">
        <f>CHOOSE($C$5,C34,D34,E34,F34)</f>
        <v>0.26500000000000001</v>
      </c>
      <c r="D59" s="27" t="s">
        <v>105</v>
      </c>
    </row>
  </sheetData>
  <mergeCells count="11">
    <mergeCell ref="B1:G1"/>
    <mergeCell ref="B2:G2"/>
    <mergeCell ref="B4:G4"/>
    <mergeCell ref="D5:G5"/>
    <mergeCell ref="B8:G8"/>
    <mergeCell ref="B37:G37"/>
    <mergeCell ref="B13:G13"/>
    <mergeCell ref="B19:G19"/>
    <mergeCell ref="B23:G23"/>
    <mergeCell ref="B26:G26"/>
    <mergeCell ref="B31:G3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2"/>
  <sheetViews>
    <sheetView showGridLines="0" zoomScaleNormal="100" workbookViewId="0">
      <selection activeCell="F5" sqref="F5"/>
    </sheetView>
  </sheetViews>
  <sheetFormatPr defaultColWidth="8.7109375" defaultRowHeight="15" x14ac:dyDescent="0.25"/>
  <cols>
    <col min="1" max="1" width="3" customWidth="1"/>
    <col min="2" max="2" width="26" customWidth="1"/>
    <col min="3" max="3" width="80" customWidth="1"/>
  </cols>
  <sheetData>
    <row r="1" spans="2:3" ht="31.5" customHeight="1" x14ac:dyDescent="0.25">
      <c r="B1" s="90" t="s">
        <v>106</v>
      </c>
      <c r="C1" s="90"/>
    </row>
    <row r="2" spans="2:3" ht="23.25" customHeight="1" x14ac:dyDescent="0.25">
      <c r="B2" s="87" t="s">
        <v>107</v>
      </c>
      <c r="C2" s="87"/>
    </row>
    <row r="4" spans="2:3" ht="31.5" customHeight="1" x14ac:dyDescent="0.25">
      <c r="B4" s="92" t="s">
        <v>108</v>
      </c>
      <c r="C4" s="92"/>
    </row>
    <row r="5" spans="2:3" ht="49.5" customHeight="1" x14ac:dyDescent="0.25">
      <c r="B5" s="35" t="s">
        <v>109</v>
      </c>
      <c r="C5" s="36" t="s">
        <v>110</v>
      </c>
    </row>
    <row r="6" spans="2:3" ht="39.75" customHeight="1" x14ac:dyDescent="0.25">
      <c r="B6" s="35" t="s">
        <v>111</v>
      </c>
      <c r="C6" s="36" t="s">
        <v>112</v>
      </c>
    </row>
    <row r="7" spans="2:3" ht="39.75" customHeight="1" x14ac:dyDescent="0.25">
      <c r="B7" s="35" t="s">
        <v>113</v>
      </c>
      <c r="C7" s="36" t="s">
        <v>114</v>
      </c>
    </row>
    <row r="9" spans="2:3" ht="31.5" customHeight="1" x14ac:dyDescent="0.25">
      <c r="B9" s="92" t="s">
        <v>115</v>
      </c>
      <c r="C9" s="92"/>
    </row>
    <row r="10" spans="2:3" ht="78" customHeight="1" x14ac:dyDescent="0.25">
      <c r="B10" s="37" t="s">
        <v>109</v>
      </c>
      <c r="C10" s="38" t="s">
        <v>116</v>
      </c>
    </row>
    <row r="11" spans="2:3" ht="78" customHeight="1" x14ac:dyDescent="0.25">
      <c r="B11" s="37" t="s">
        <v>111</v>
      </c>
      <c r="C11" s="38" t="s">
        <v>117</v>
      </c>
    </row>
    <row r="12" spans="2:3" ht="63.75" customHeight="1" x14ac:dyDescent="0.25">
      <c r="B12" s="37" t="s">
        <v>113</v>
      </c>
      <c r="C12" s="38" t="s">
        <v>118</v>
      </c>
    </row>
    <row r="14" spans="2:3" ht="31.5" customHeight="1" x14ac:dyDescent="0.25">
      <c r="B14" s="92" t="s">
        <v>119</v>
      </c>
      <c r="C14" s="92"/>
    </row>
    <row r="15" spans="2:3" ht="63.75" customHeight="1" x14ac:dyDescent="0.25">
      <c r="B15" s="39" t="s">
        <v>109</v>
      </c>
      <c r="C15" s="40" t="s">
        <v>120</v>
      </c>
    </row>
    <row r="16" spans="2:3" ht="63.75" customHeight="1" x14ac:dyDescent="0.25">
      <c r="B16" s="39" t="s">
        <v>111</v>
      </c>
      <c r="C16" s="40" t="s">
        <v>121</v>
      </c>
    </row>
    <row r="17" spans="2:3" ht="78" customHeight="1" x14ac:dyDescent="0.25">
      <c r="B17" s="39" t="s">
        <v>113</v>
      </c>
      <c r="C17" s="40" t="s">
        <v>122</v>
      </c>
    </row>
    <row r="19" spans="2:3" ht="31.5" customHeight="1" x14ac:dyDescent="0.25">
      <c r="B19" s="92" t="s">
        <v>123</v>
      </c>
      <c r="C19" s="92"/>
    </row>
    <row r="20" spans="2:3" ht="63.75" customHeight="1" x14ac:dyDescent="0.25">
      <c r="B20" s="41" t="s">
        <v>109</v>
      </c>
      <c r="C20" s="42" t="s">
        <v>124</v>
      </c>
    </row>
    <row r="21" spans="2:3" ht="63.75" customHeight="1" x14ac:dyDescent="0.25">
      <c r="B21" s="41" t="s">
        <v>111</v>
      </c>
      <c r="C21" s="42" t="s">
        <v>125</v>
      </c>
    </row>
    <row r="22" spans="2:3" ht="78" customHeight="1" x14ac:dyDescent="0.25">
      <c r="B22" s="41" t="s">
        <v>113</v>
      </c>
      <c r="C22" s="42" t="s">
        <v>126</v>
      </c>
    </row>
  </sheetData>
  <mergeCells count="6">
    <mergeCell ref="B19:C19"/>
    <mergeCell ref="B1:C1"/>
    <mergeCell ref="B2:C2"/>
    <mergeCell ref="B4:C4"/>
    <mergeCell ref="B9:C9"/>
    <mergeCell ref="B14:C14"/>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25"/>
  <sheetViews>
    <sheetView showGridLines="0" zoomScaleNormal="100" workbookViewId="0">
      <pane xSplit="2" ySplit="4" topLeftCell="C5" activePane="bottomRight" state="frozen"/>
      <selection pane="topRight" activeCell="C1" sqref="C1"/>
      <selection pane="bottomLeft" activeCell="A5" sqref="A5"/>
      <selection pane="bottomRight" activeCell="G7" sqref="G7"/>
    </sheetView>
  </sheetViews>
  <sheetFormatPr defaultColWidth="8.7109375" defaultRowHeight="15" x14ac:dyDescent="0.25"/>
  <cols>
    <col min="1" max="1" width="3" customWidth="1"/>
    <col min="2" max="2" width="32" customWidth="1"/>
    <col min="3" max="27" width="11" customWidth="1"/>
  </cols>
  <sheetData>
    <row r="1" spans="2:27" ht="30" customHeight="1" x14ac:dyDescent="0.25">
      <c r="B1" s="90" t="s">
        <v>127</v>
      </c>
      <c r="C1" s="90"/>
      <c r="D1" s="90"/>
      <c r="E1" s="90"/>
      <c r="F1" s="90"/>
      <c r="G1" s="90"/>
      <c r="H1" s="90"/>
      <c r="I1" s="90"/>
      <c r="J1" s="90"/>
      <c r="K1" s="90"/>
      <c r="L1" s="90"/>
      <c r="M1" s="90"/>
      <c r="N1" s="90"/>
      <c r="O1" s="90"/>
      <c r="P1" s="90"/>
      <c r="Q1" s="90"/>
      <c r="R1" s="90"/>
      <c r="S1" s="90"/>
      <c r="T1" s="90"/>
      <c r="U1" s="90"/>
      <c r="V1" s="90"/>
      <c r="W1" s="90"/>
      <c r="X1" s="90"/>
      <c r="Y1" s="90"/>
      <c r="Z1" s="90"/>
      <c r="AA1" s="90"/>
    </row>
    <row r="2" spans="2:27" ht="15" customHeight="1" x14ac:dyDescent="0.25">
      <c r="B2" s="87" t="s">
        <v>128</v>
      </c>
      <c r="C2" s="87"/>
      <c r="D2" s="87"/>
      <c r="E2" s="87"/>
      <c r="F2" s="87"/>
      <c r="G2" s="87"/>
      <c r="H2" s="87"/>
      <c r="I2" s="87"/>
      <c r="J2" s="87"/>
      <c r="K2" s="87"/>
      <c r="L2" s="87"/>
      <c r="M2" s="87"/>
      <c r="N2" s="87"/>
      <c r="O2" s="87"/>
      <c r="P2" s="87"/>
      <c r="Q2" s="87"/>
      <c r="R2" s="87"/>
      <c r="S2" s="87"/>
      <c r="T2" s="87"/>
      <c r="U2" s="87"/>
      <c r="V2" s="87"/>
      <c r="W2" s="87"/>
      <c r="X2" s="87"/>
      <c r="Y2" s="87"/>
      <c r="Z2" s="87"/>
      <c r="AA2" s="87"/>
    </row>
    <row r="4" spans="2:27" ht="19.5" customHeight="1" x14ac:dyDescent="0.25">
      <c r="B4" s="43" t="s">
        <v>129</v>
      </c>
      <c r="C4" s="5" t="s">
        <v>130</v>
      </c>
      <c r="D4" s="5" t="s">
        <v>131</v>
      </c>
      <c r="E4" s="5" t="s">
        <v>132</v>
      </c>
      <c r="F4" s="5" t="s">
        <v>133</v>
      </c>
      <c r="G4" s="5" t="s">
        <v>134</v>
      </c>
      <c r="H4" s="5" t="s">
        <v>135</v>
      </c>
      <c r="I4" s="5" t="s">
        <v>136</v>
      </c>
      <c r="J4" s="5" t="s">
        <v>137</v>
      </c>
      <c r="K4" s="5" t="s">
        <v>138</v>
      </c>
      <c r="L4" s="5" t="s">
        <v>139</v>
      </c>
      <c r="M4" s="5" t="s">
        <v>140</v>
      </c>
      <c r="N4" s="5" t="s">
        <v>141</v>
      </c>
      <c r="O4" s="5" t="s">
        <v>142</v>
      </c>
      <c r="P4" s="5" t="s">
        <v>143</v>
      </c>
      <c r="Q4" s="5" t="s">
        <v>144</v>
      </c>
      <c r="R4" s="5" t="s">
        <v>145</v>
      </c>
      <c r="S4" s="5" t="s">
        <v>146</v>
      </c>
      <c r="T4" s="5" t="s">
        <v>147</v>
      </c>
      <c r="U4" s="5" t="s">
        <v>148</v>
      </c>
      <c r="V4" s="5" t="s">
        <v>149</v>
      </c>
      <c r="W4" s="5" t="s">
        <v>150</v>
      </c>
      <c r="X4" s="5" t="s">
        <v>151</v>
      </c>
      <c r="Y4" s="5" t="s">
        <v>152</v>
      </c>
      <c r="Z4" s="5" t="s">
        <v>153</v>
      </c>
      <c r="AA4" s="44" t="s">
        <v>154</v>
      </c>
    </row>
    <row r="5" spans="2:27" ht="21.75" customHeight="1" x14ac:dyDescent="0.25">
      <c r="B5" s="93" t="s">
        <v>30</v>
      </c>
      <c r="C5" s="93"/>
      <c r="D5" s="93"/>
      <c r="E5" s="93"/>
      <c r="F5" s="93"/>
      <c r="G5" s="93"/>
      <c r="H5" s="93"/>
      <c r="I5" s="93"/>
      <c r="J5" s="93"/>
      <c r="K5" s="93"/>
      <c r="L5" s="93"/>
      <c r="M5" s="93"/>
      <c r="N5" s="93"/>
      <c r="O5" s="93"/>
      <c r="P5" s="93"/>
      <c r="Q5" s="93"/>
      <c r="R5" s="93"/>
      <c r="S5" s="93"/>
      <c r="T5" s="93"/>
      <c r="U5" s="93"/>
      <c r="V5" s="93"/>
      <c r="W5" s="93"/>
      <c r="X5" s="93"/>
      <c r="Y5" s="93"/>
      <c r="Z5" s="93"/>
      <c r="AA5" s="93"/>
    </row>
    <row r="6" spans="2:27" ht="18" customHeight="1" x14ac:dyDescent="0.25">
      <c r="B6" s="12" t="s">
        <v>155</v>
      </c>
      <c r="C6" s="45">
        <f>Drivers!C39</f>
        <v>1500000</v>
      </c>
      <c r="D6" s="46">
        <f t="shared" ref="D6:Z6" si="0">C10</f>
        <v>900000</v>
      </c>
      <c r="E6" s="46">
        <f t="shared" si="0"/>
        <v>900000</v>
      </c>
      <c r="F6" s="46">
        <f t="shared" si="0"/>
        <v>900000</v>
      </c>
      <c r="G6" s="46">
        <f t="shared" si="0"/>
        <v>900000</v>
      </c>
      <c r="H6" s="46">
        <f t="shared" si="0"/>
        <v>900000</v>
      </c>
      <c r="I6" s="46">
        <f t="shared" si="0"/>
        <v>900000</v>
      </c>
      <c r="J6" s="46">
        <f t="shared" si="0"/>
        <v>900000</v>
      </c>
      <c r="K6" s="46">
        <f t="shared" si="0"/>
        <v>900000</v>
      </c>
      <c r="L6" s="46">
        <f t="shared" si="0"/>
        <v>900000</v>
      </c>
      <c r="M6" s="46">
        <f t="shared" si="0"/>
        <v>900000</v>
      </c>
      <c r="N6" s="46">
        <f t="shared" si="0"/>
        <v>900000</v>
      </c>
      <c r="O6" s="46">
        <f t="shared" si="0"/>
        <v>900000</v>
      </c>
      <c r="P6" s="46">
        <f t="shared" si="0"/>
        <v>900000</v>
      </c>
      <c r="Q6" s="46">
        <f t="shared" si="0"/>
        <v>900000</v>
      </c>
      <c r="R6" s="46">
        <f t="shared" si="0"/>
        <v>900000</v>
      </c>
      <c r="S6" s="46">
        <f t="shared" si="0"/>
        <v>900000</v>
      </c>
      <c r="T6" s="46">
        <f t="shared" si="0"/>
        <v>900000</v>
      </c>
      <c r="U6" s="46">
        <f t="shared" si="0"/>
        <v>900000</v>
      </c>
      <c r="V6" s="46">
        <f t="shared" si="0"/>
        <v>900000</v>
      </c>
      <c r="W6" s="46">
        <f t="shared" si="0"/>
        <v>900000</v>
      </c>
      <c r="X6" s="46">
        <f t="shared" si="0"/>
        <v>900000</v>
      </c>
      <c r="Y6" s="46">
        <f t="shared" si="0"/>
        <v>900000</v>
      </c>
      <c r="Z6" s="46">
        <f t="shared" si="0"/>
        <v>900000</v>
      </c>
    </row>
    <row r="7" spans="2:27" ht="18" customHeight="1" x14ac:dyDescent="0.25">
      <c r="B7" s="6" t="s">
        <v>156</v>
      </c>
      <c r="C7" s="47">
        <f>IF(Drivers!$C$5=4,Drivers!$C$40*MAX(0.8,1-0.035*MIN(1-1,6)),Drivers!$C$40)</f>
        <v>900000</v>
      </c>
      <c r="D7" s="47">
        <f>IF(Drivers!$C$5=4,Drivers!$C$40*MAX(0.8,1-0.035*MIN(2-1,6)),Drivers!$C$40)</f>
        <v>900000</v>
      </c>
      <c r="E7" s="47">
        <f>IF(Drivers!$C$5=4,Drivers!$C$40*MAX(0.8,1-0.035*MIN(3-1,6)),Drivers!$C$40)</f>
        <v>900000</v>
      </c>
      <c r="F7" s="47">
        <f>IF(Drivers!$C$5=4,Drivers!$C$40*MAX(0.8,1-0.035*MIN(4-1,6)),Drivers!$C$40)</f>
        <v>900000</v>
      </c>
      <c r="G7" s="47">
        <f>IF(Drivers!$C$5=4,Drivers!$C$40*MAX(0.8,1-0.035*MIN(5-1,6)),Drivers!$C$40)</f>
        <v>900000</v>
      </c>
      <c r="H7" s="47">
        <f>IF(Drivers!$C$5=4,Drivers!$C$40*MAX(0.8,1-0.035*MIN(6-1,6)),Drivers!$C$40)</f>
        <v>900000</v>
      </c>
      <c r="I7" s="47">
        <f>IF(Drivers!$C$5=4,Drivers!$C$40*MAX(0.8,1-0.035*MIN(7-1,6)),Drivers!$C$40)</f>
        <v>900000</v>
      </c>
      <c r="J7" s="47">
        <f>IF(Drivers!$C$5=4,Drivers!$C$40*MAX(0.8,1-0.035*MIN(8-1,6)),Drivers!$C$40)</f>
        <v>900000</v>
      </c>
      <c r="K7" s="47">
        <f>IF(Drivers!$C$5=4,Drivers!$C$40*MAX(0.8,1-0.035*MIN(9-1,6)),Drivers!$C$40)</f>
        <v>900000</v>
      </c>
      <c r="L7" s="47">
        <f>IF(Drivers!$C$5=4,Drivers!$C$40*MAX(0.8,1-0.035*MIN(10-1,6)),Drivers!$C$40)</f>
        <v>900000</v>
      </c>
      <c r="M7" s="47">
        <f>IF(Drivers!$C$5=4,Drivers!$C$40*MAX(0.8,1-0.035*MIN(11-1,6)),Drivers!$C$40)</f>
        <v>900000</v>
      </c>
      <c r="N7" s="47">
        <f>IF(Drivers!$C$5=4,Drivers!$C$40*MAX(0.8,1-0.035*MIN(12-1,6)),Drivers!$C$40)</f>
        <v>900000</v>
      </c>
      <c r="O7" s="47">
        <f>IF(Drivers!$C$5=4,Drivers!$C$40*MAX(0.8,1-0.035*MIN(13-1,6)),Drivers!$C$40)</f>
        <v>900000</v>
      </c>
      <c r="P7" s="47">
        <f>IF(Drivers!$C$5=4,Drivers!$C$40*MAX(0.8,1-0.035*MIN(14-1,6)),Drivers!$C$40)</f>
        <v>900000</v>
      </c>
      <c r="Q7" s="47">
        <f>IF(Drivers!$C$5=4,Drivers!$C$40*MAX(0.8,1-0.035*MIN(15-1,6)),Drivers!$C$40)</f>
        <v>900000</v>
      </c>
      <c r="R7" s="47">
        <f>IF(Drivers!$C$5=4,Drivers!$C$40*MAX(0.8,1-0.035*MIN(16-1,6)),Drivers!$C$40)</f>
        <v>900000</v>
      </c>
      <c r="S7" s="47">
        <f>IF(Drivers!$C$5=4,Drivers!$C$40*MAX(0.8,1-0.035*MIN(17-1,6)),Drivers!$C$40)</f>
        <v>900000</v>
      </c>
      <c r="T7" s="47">
        <f>IF(Drivers!$C$5=4,Drivers!$C$40*MAX(0.8,1-0.035*MIN(18-1,6)),Drivers!$C$40)</f>
        <v>900000</v>
      </c>
      <c r="U7" s="47">
        <f>IF(Drivers!$C$5=4,Drivers!$C$40*MAX(0.8,1-0.035*MIN(19-1,6)),Drivers!$C$40)</f>
        <v>900000</v>
      </c>
      <c r="V7" s="47">
        <f>IF(Drivers!$C$5=4,Drivers!$C$40*MAX(0.8,1-0.035*MIN(20-1,6)),Drivers!$C$40)</f>
        <v>900000</v>
      </c>
      <c r="W7" s="47">
        <f>IF(Drivers!$C$5=4,Drivers!$C$40*MAX(0.8,1-0.035*MIN(21-1,6)),Drivers!$C$40)</f>
        <v>900000</v>
      </c>
      <c r="X7" s="47">
        <f>IF(Drivers!$C$5=4,Drivers!$C$40*MAX(0.8,1-0.035*MIN(22-1,6)),Drivers!$C$40)</f>
        <v>900000</v>
      </c>
      <c r="Y7" s="47">
        <f>IF(Drivers!$C$5=4,Drivers!$C$40*MAX(0.8,1-0.035*MIN(23-1,6)),Drivers!$C$40)</f>
        <v>900000</v>
      </c>
      <c r="Z7" s="47">
        <f>IF(Drivers!$C$5=4,Drivers!$C$40*MAX(0.8,1-0.035*MIN(24-1,6)),Drivers!$C$40)</f>
        <v>900000</v>
      </c>
      <c r="AA7" s="48">
        <f>SUM(C7:Z7)</f>
        <v>21600000</v>
      </c>
    </row>
    <row r="8" spans="2:27" ht="18" customHeight="1" x14ac:dyDescent="0.25">
      <c r="B8" s="12" t="s">
        <v>157</v>
      </c>
      <c r="C8" s="49">
        <f>C6*MIN(0.25,MAX(0,(Drivers!$C$41-3)*0.02))</f>
        <v>0</v>
      </c>
      <c r="D8" s="49">
        <f>D6*MIN(0.25,MAX(0,(Drivers!$C$41-3)*0.02))</f>
        <v>0</v>
      </c>
      <c r="E8" s="49">
        <f>E6*MIN(0.25,MAX(0,(Drivers!$C$41-3)*0.02))</f>
        <v>0</v>
      </c>
      <c r="F8" s="49">
        <f>F6*MIN(0.25,MAX(0,(Drivers!$C$41-3)*0.02))</f>
        <v>0</v>
      </c>
      <c r="G8" s="49">
        <f>G6*MIN(0.25,MAX(0,(Drivers!$C$41-3)*0.02))</f>
        <v>0</v>
      </c>
      <c r="H8" s="49">
        <f>H6*MIN(0.25,MAX(0,(Drivers!$C$41-3)*0.02))</f>
        <v>0</v>
      </c>
      <c r="I8" s="49">
        <f>I6*MIN(0.25,MAX(0,(Drivers!$C$41-3)*0.02))</f>
        <v>0</v>
      </c>
      <c r="J8" s="49">
        <f>J6*MIN(0.25,MAX(0,(Drivers!$C$41-3)*0.02))</f>
        <v>0</v>
      </c>
      <c r="K8" s="49">
        <f>K6*MIN(0.25,MAX(0,(Drivers!$C$41-3)*0.02))</f>
        <v>0</v>
      </c>
      <c r="L8" s="49">
        <f>L6*MIN(0.25,MAX(0,(Drivers!$C$41-3)*0.02))</f>
        <v>0</v>
      </c>
      <c r="M8" s="49">
        <f>M6*MIN(0.25,MAX(0,(Drivers!$C$41-3)*0.02))</f>
        <v>0</v>
      </c>
      <c r="N8" s="49">
        <f>N6*MIN(0.25,MAX(0,(Drivers!$C$41-3)*0.02))</f>
        <v>0</v>
      </c>
      <c r="O8" s="49">
        <f>O6*MIN(0.25,MAX(0,(Drivers!$C$41-3)*0.02))</f>
        <v>0</v>
      </c>
      <c r="P8" s="49">
        <f>P6*MIN(0.25,MAX(0,(Drivers!$C$41-3)*0.02))</f>
        <v>0</v>
      </c>
      <c r="Q8" s="49">
        <f>Q6*MIN(0.25,MAX(0,(Drivers!$C$41-3)*0.02))</f>
        <v>0</v>
      </c>
      <c r="R8" s="49">
        <f>R6*MIN(0.25,MAX(0,(Drivers!$C$41-3)*0.02))</f>
        <v>0</v>
      </c>
      <c r="S8" s="49">
        <f>S6*MIN(0.25,MAX(0,(Drivers!$C$41-3)*0.02))</f>
        <v>0</v>
      </c>
      <c r="T8" s="49">
        <f>T6*MIN(0.25,MAX(0,(Drivers!$C$41-3)*0.02))</f>
        <v>0</v>
      </c>
      <c r="U8" s="49">
        <f>U6*MIN(0.25,MAX(0,(Drivers!$C$41-3)*0.02))</f>
        <v>0</v>
      </c>
      <c r="V8" s="49">
        <f>V6*MIN(0.25,MAX(0,(Drivers!$C$41-3)*0.02))</f>
        <v>0</v>
      </c>
      <c r="W8" s="49">
        <f>W6*MIN(0.25,MAX(0,(Drivers!$C$41-3)*0.02))</f>
        <v>0</v>
      </c>
      <c r="X8" s="49">
        <f>X6*MIN(0.25,MAX(0,(Drivers!$C$41-3)*0.02))</f>
        <v>0</v>
      </c>
      <c r="Y8" s="49">
        <f>Y6*MIN(0.25,MAX(0,(Drivers!$C$41-3)*0.02))</f>
        <v>0</v>
      </c>
      <c r="Z8" s="49">
        <f>Z6*MIN(0.25,MAX(0,(Drivers!$C$41-3)*0.02))</f>
        <v>0</v>
      </c>
      <c r="AA8" s="48">
        <f>SUM(C8:Z8)</f>
        <v>0</v>
      </c>
    </row>
    <row r="9" spans="2:27" ht="18" customHeight="1" x14ac:dyDescent="0.25">
      <c r="B9" s="6" t="s">
        <v>158</v>
      </c>
      <c r="C9" s="50">
        <f>MIN((C6-C8),(C6-C8)*MIN(1,4.33/Drivers!$C$41))</f>
        <v>1500000</v>
      </c>
      <c r="D9" s="50">
        <f>MIN((D6-D8),(D6-D8)*MIN(1,4.33/Drivers!$C$41))</f>
        <v>900000</v>
      </c>
      <c r="E9" s="50">
        <f>MIN((E6-E8),(E6-E8)*MIN(1,4.33/Drivers!$C$41))</f>
        <v>900000</v>
      </c>
      <c r="F9" s="50">
        <f>MIN((F6-F8),(F6-F8)*MIN(1,4.33/Drivers!$C$41))</f>
        <v>900000</v>
      </c>
      <c r="G9" s="50">
        <f>MIN((G6-G8),(G6-G8)*MIN(1,4.33/Drivers!$C$41))</f>
        <v>900000</v>
      </c>
      <c r="H9" s="50">
        <f>MIN((H6-H8),(H6-H8)*MIN(1,4.33/Drivers!$C$41))</f>
        <v>900000</v>
      </c>
      <c r="I9" s="50">
        <f>MIN((I6-I8),(I6-I8)*MIN(1,4.33/Drivers!$C$41))</f>
        <v>900000</v>
      </c>
      <c r="J9" s="50">
        <f>MIN((J6-J8),(J6-J8)*MIN(1,4.33/Drivers!$C$41))</f>
        <v>900000</v>
      </c>
      <c r="K9" s="50">
        <f>MIN((K6-K8),(K6-K8)*MIN(1,4.33/Drivers!$C$41))</f>
        <v>900000</v>
      </c>
      <c r="L9" s="50">
        <f>MIN((L6-L8),(L6-L8)*MIN(1,4.33/Drivers!$C$41))</f>
        <v>900000</v>
      </c>
      <c r="M9" s="50">
        <f>MIN((M6-M8),(M6-M8)*MIN(1,4.33/Drivers!$C$41))</f>
        <v>900000</v>
      </c>
      <c r="N9" s="50">
        <f>MIN((N6-N8),(N6-N8)*MIN(1,4.33/Drivers!$C$41))</f>
        <v>900000</v>
      </c>
      <c r="O9" s="50">
        <f>MIN((O6-O8),(O6-O8)*MIN(1,4.33/Drivers!$C$41))</f>
        <v>900000</v>
      </c>
      <c r="P9" s="50">
        <f>MIN((P6-P8),(P6-P8)*MIN(1,4.33/Drivers!$C$41))</f>
        <v>900000</v>
      </c>
      <c r="Q9" s="50">
        <f>MIN((Q6-Q8),(Q6-Q8)*MIN(1,4.33/Drivers!$C$41))</f>
        <v>900000</v>
      </c>
      <c r="R9" s="50">
        <f>MIN((R6-R8),(R6-R8)*MIN(1,4.33/Drivers!$C$41))</f>
        <v>900000</v>
      </c>
      <c r="S9" s="50">
        <f>MIN((S6-S8),(S6-S8)*MIN(1,4.33/Drivers!$C$41))</f>
        <v>900000</v>
      </c>
      <c r="T9" s="50">
        <f>MIN((T6-T8),(T6-T8)*MIN(1,4.33/Drivers!$C$41))</f>
        <v>900000</v>
      </c>
      <c r="U9" s="50">
        <f>MIN((U6-U8),(U6-U8)*MIN(1,4.33/Drivers!$C$41))</f>
        <v>900000</v>
      </c>
      <c r="V9" s="50">
        <f>MIN((V6-V8),(V6-V8)*MIN(1,4.33/Drivers!$C$41))</f>
        <v>900000</v>
      </c>
      <c r="W9" s="50">
        <f>MIN((W6-W8),(W6-W8)*MIN(1,4.33/Drivers!$C$41))</f>
        <v>900000</v>
      </c>
      <c r="X9" s="50">
        <f>MIN((X6-X8),(X6-X8)*MIN(1,4.33/Drivers!$C$41))</f>
        <v>900000</v>
      </c>
      <c r="Y9" s="50">
        <f>MIN((Y6-Y8),(Y6-Y8)*MIN(1,4.33/Drivers!$C$41))</f>
        <v>900000</v>
      </c>
      <c r="Z9" s="50">
        <f>MIN((Z6-Z8),(Z6-Z8)*MIN(1,4.33/Drivers!$C$41))</f>
        <v>900000</v>
      </c>
      <c r="AA9" s="48">
        <f>SUM(C9:Z9)</f>
        <v>22200000</v>
      </c>
    </row>
    <row r="10" spans="2:27" ht="18" customHeight="1" x14ac:dyDescent="0.25">
      <c r="B10" s="12" t="s">
        <v>159</v>
      </c>
      <c r="C10" s="46">
        <f t="shared" ref="C10:Z10" si="1">MAX(0,C6+C7-C8-C9)</f>
        <v>900000</v>
      </c>
      <c r="D10" s="46">
        <f t="shared" si="1"/>
        <v>900000</v>
      </c>
      <c r="E10" s="46">
        <f t="shared" si="1"/>
        <v>900000</v>
      </c>
      <c r="F10" s="46">
        <f t="shared" si="1"/>
        <v>900000</v>
      </c>
      <c r="G10" s="46">
        <f t="shared" si="1"/>
        <v>900000</v>
      </c>
      <c r="H10" s="46">
        <f t="shared" si="1"/>
        <v>900000</v>
      </c>
      <c r="I10" s="46">
        <f t="shared" si="1"/>
        <v>900000</v>
      </c>
      <c r="J10" s="46">
        <f t="shared" si="1"/>
        <v>900000</v>
      </c>
      <c r="K10" s="46">
        <f t="shared" si="1"/>
        <v>900000</v>
      </c>
      <c r="L10" s="46">
        <f t="shared" si="1"/>
        <v>900000</v>
      </c>
      <c r="M10" s="46">
        <f t="shared" si="1"/>
        <v>900000</v>
      </c>
      <c r="N10" s="46">
        <f t="shared" si="1"/>
        <v>900000</v>
      </c>
      <c r="O10" s="46">
        <f t="shared" si="1"/>
        <v>900000</v>
      </c>
      <c r="P10" s="46">
        <f t="shared" si="1"/>
        <v>900000</v>
      </c>
      <c r="Q10" s="46">
        <f t="shared" si="1"/>
        <v>900000</v>
      </c>
      <c r="R10" s="46">
        <f t="shared" si="1"/>
        <v>900000</v>
      </c>
      <c r="S10" s="46">
        <f t="shared" si="1"/>
        <v>900000</v>
      </c>
      <c r="T10" s="46">
        <f t="shared" si="1"/>
        <v>900000</v>
      </c>
      <c r="U10" s="46">
        <f t="shared" si="1"/>
        <v>900000</v>
      </c>
      <c r="V10" s="46">
        <f t="shared" si="1"/>
        <v>900000</v>
      </c>
      <c r="W10" s="46">
        <f t="shared" si="1"/>
        <v>900000</v>
      </c>
      <c r="X10" s="46">
        <f t="shared" si="1"/>
        <v>900000</v>
      </c>
      <c r="Y10" s="46">
        <f t="shared" si="1"/>
        <v>900000</v>
      </c>
      <c r="Z10" s="46">
        <f t="shared" si="1"/>
        <v>900000</v>
      </c>
    </row>
    <row r="12" spans="2:27" ht="21.75" customHeight="1" x14ac:dyDescent="0.25">
      <c r="B12" s="93" t="s">
        <v>39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row>
    <row r="13" spans="2:27" ht="18" customHeight="1" x14ac:dyDescent="0.25">
      <c r="B13" s="51" t="s">
        <v>155</v>
      </c>
      <c r="C13" s="45">
        <f>Drivers!C43</f>
        <v>8500000</v>
      </c>
      <c r="D13" s="46">
        <f t="shared" ref="D13:Z13" si="2">C17</f>
        <v>6971071.4285714291</v>
      </c>
      <c r="E13" s="46">
        <f t="shared" si="2"/>
        <v>5915018.6224489799</v>
      </c>
      <c r="F13" s="46">
        <f t="shared" si="2"/>
        <v>5185587.8627915457</v>
      </c>
      <c r="G13" s="46">
        <f t="shared" si="2"/>
        <v>4681759.6166567318</v>
      </c>
      <c r="H13" s="46">
        <f t="shared" si="2"/>
        <v>4333758.249505043</v>
      </c>
      <c r="I13" s="46">
        <f t="shared" si="2"/>
        <v>4093388.7337652692</v>
      </c>
      <c r="J13" s="46">
        <f t="shared" si="2"/>
        <v>3927362.0753935818</v>
      </c>
      <c r="K13" s="46">
        <f t="shared" si="2"/>
        <v>3812685.0906468527</v>
      </c>
      <c r="L13" s="46">
        <f t="shared" si="2"/>
        <v>3733476.0590396477</v>
      </c>
      <c r="M13" s="46">
        <f t="shared" si="2"/>
        <v>3678765.2493509566</v>
      </c>
      <c r="N13" s="46">
        <f t="shared" si="2"/>
        <v>3640975.7115159822</v>
      </c>
      <c r="O13" s="46">
        <f t="shared" si="2"/>
        <v>3614873.9378828243</v>
      </c>
      <c r="P13" s="46">
        <f t="shared" si="2"/>
        <v>3596845.0699519217</v>
      </c>
      <c r="Q13" s="46">
        <f t="shared" si="2"/>
        <v>3584392.2733167917</v>
      </c>
      <c r="R13" s="46">
        <f t="shared" si="2"/>
        <v>3575790.9487838121</v>
      </c>
      <c r="S13" s="46">
        <f t="shared" si="2"/>
        <v>3569849.8910528189</v>
      </c>
      <c r="T13" s="46">
        <f t="shared" si="2"/>
        <v>3565746.3176057683</v>
      </c>
      <c r="U13" s="46">
        <f t="shared" si="2"/>
        <v>3562911.9208034128</v>
      </c>
      <c r="V13" s="46">
        <f t="shared" si="2"/>
        <v>3560954.1624406427</v>
      </c>
      <c r="W13" s="46">
        <f t="shared" si="2"/>
        <v>3559601.9107715013</v>
      </c>
      <c r="X13" s="46">
        <f t="shared" si="2"/>
        <v>3558667.891225744</v>
      </c>
      <c r="Y13" s="46">
        <f t="shared" si="2"/>
        <v>3558022.7505823532</v>
      </c>
      <c r="Z13" s="46">
        <f t="shared" si="2"/>
        <v>3557577.1427236684</v>
      </c>
    </row>
    <row r="14" spans="2:27" ht="18" customHeight="1" x14ac:dyDescent="0.25">
      <c r="B14" s="51" t="s">
        <v>156</v>
      </c>
      <c r="C14" s="47">
        <f>IF(Drivers!$C$5=4,Drivers!$C$44*MAX(0.8,1-0.035*MIN(1-1,6)),Drivers!$C$44)</f>
        <v>1100000</v>
      </c>
      <c r="D14" s="47">
        <f>IF(Drivers!$C$5=4,Drivers!$C$44*MAX(0.8,1-0.035*MIN(2-1,6)),Drivers!$C$44)</f>
        <v>1100000</v>
      </c>
      <c r="E14" s="47">
        <f>IF(Drivers!$C$5=4,Drivers!$C$44*MAX(0.8,1-0.035*MIN(3-1,6)),Drivers!$C$44)</f>
        <v>1100000</v>
      </c>
      <c r="F14" s="47">
        <f>IF(Drivers!$C$5=4,Drivers!$C$44*MAX(0.8,1-0.035*MIN(4-1,6)),Drivers!$C$44)</f>
        <v>1100000</v>
      </c>
      <c r="G14" s="47">
        <f>IF(Drivers!$C$5=4,Drivers!$C$44*MAX(0.8,1-0.035*MIN(5-1,6)),Drivers!$C$44)</f>
        <v>1100000</v>
      </c>
      <c r="H14" s="47">
        <f>IF(Drivers!$C$5=4,Drivers!$C$44*MAX(0.8,1-0.035*MIN(6-1,6)),Drivers!$C$44)</f>
        <v>1100000</v>
      </c>
      <c r="I14" s="47">
        <f>IF(Drivers!$C$5=4,Drivers!$C$44*MAX(0.8,1-0.035*MIN(7-1,6)),Drivers!$C$44)</f>
        <v>1100000</v>
      </c>
      <c r="J14" s="47">
        <f>IF(Drivers!$C$5=4,Drivers!$C$44*MAX(0.8,1-0.035*MIN(8-1,6)),Drivers!$C$44)</f>
        <v>1100000</v>
      </c>
      <c r="K14" s="47">
        <f>IF(Drivers!$C$5=4,Drivers!$C$44*MAX(0.8,1-0.035*MIN(9-1,6)),Drivers!$C$44)</f>
        <v>1100000</v>
      </c>
      <c r="L14" s="47">
        <f>IF(Drivers!$C$5=4,Drivers!$C$44*MAX(0.8,1-0.035*MIN(10-1,6)),Drivers!$C$44)</f>
        <v>1100000</v>
      </c>
      <c r="M14" s="47">
        <f>IF(Drivers!$C$5=4,Drivers!$C$44*MAX(0.8,1-0.035*MIN(11-1,6)),Drivers!$C$44)</f>
        <v>1100000</v>
      </c>
      <c r="N14" s="47">
        <f>IF(Drivers!$C$5=4,Drivers!$C$44*MAX(0.8,1-0.035*MIN(12-1,6)),Drivers!$C$44)</f>
        <v>1100000</v>
      </c>
      <c r="O14" s="47">
        <f>IF(Drivers!$C$5=4,Drivers!$C$44*MAX(0.8,1-0.035*MIN(13-1,6)),Drivers!$C$44)</f>
        <v>1100000</v>
      </c>
      <c r="P14" s="47">
        <f>IF(Drivers!$C$5=4,Drivers!$C$44*MAX(0.8,1-0.035*MIN(14-1,6)),Drivers!$C$44)</f>
        <v>1100000</v>
      </c>
      <c r="Q14" s="47">
        <f>IF(Drivers!$C$5=4,Drivers!$C$44*MAX(0.8,1-0.035*MIN(15-1,6)),Drivers!$C$44)</f>
        <v>1100000</v>
      </c>
      <c r="R14" s="47">
        <f>IF(Drivers!$C$5=4,Drivers!$C$44*MAX(0.8,1-0.035*MIN(16-1,6)),Drivers!$C$44)</f>
        <v>1100000</v>
      </c>
      <c r="S14" s="47">
        <f>IF(Drivers!$C$5=4,Drivers!$C$44*MAX(0.8,1-0.035*MIN(17-1,6)),Drivers!$C$44)</f>
        <v>1100000</v>
      </c>
      <c r="T14" s="47">
        <f>IF(Drivers!$C$5=4,Drivers!$C$44*MAX(0.8,1-0.035*MIN(18-1,6)),Drivers!$C$44)</f>
        <v>1100000</v>
      </c>
      <c r="U14" s="47">
        <f>IF(Drivers!$C$5=4,Drivers!$C$44*MAX(0.8,1-0.035*MIN(19-1,6)),Drivers!$C$44)</f>
        <v>1100000</v>
      </c>
      <c r="V14" s="47">
        <f>IF(Drivers!$C$5=4,Drivers!$C$44*MAX(0.8,1-0.035*MIN(20-1,6)),Drivers!$C$44)</f>
        <v>1100000</v>
      </c>
      <c r="W14" s="47">
        <f>IF(Drivers!$C$5=4,Drivers!$C$44*MAX(0.8,1-0.035*MIN(21-1,6)),Drivers!$C$44)</f>
        <v>1100000</v>
      </c>
      <c r="X14" s="47">
        <f>IF(Drivers!$C$5=4,Drivers!$C$44*MAX(0.8,1-0.035*MIN(22-1,6)),Drivers!$C$44)</f>
        <v>1100000</v>
      </c>
      <c r="Y14" s="47">
        <f>IF(Drivers!$C$5=4,Drivers!$C$44*MAX(0.8,1-0.035*MIN(23-1,6)),Drivers!$C$44)</f>
        <v>1100000</v>
      </c>
      <c r="Z14" s="47">
        <f>IF(Drivers!$C$5=4,Drivers!$C$44*MAX(0.8,1-0.035*MIN(24-1,6)),Drivers!$C$44)</f>
        <v>1100000</v>
      </c>
      <c r="AA14" s="48">
        <f>SUM(C14:Z14)</f>
        <v>26400000</v>
      </c>
    </row>
    <row r="15" spans="2:27" ht="18" customHeight="1" x14ac:dyDescent="0.25">
      <c r="B15" s="51" t="s">
        <v>157</v>
      </c>
      <c r="C15" s="49">
        <f>C13*MIN(0.35,MAX(0,(Drivers!$C$45-14)*Drivers!$C$47))</f>
        <v>0</v>
      </c>
      <c r="D15" s="49">
        <f>D13*MIN(0.35,MAX(0,(Drivers!$C$45-14)*Drivers!$C$47))</f>
        <v>0</v>
      </c>
      <c r="E15" s="49">
        <f>E13*MIN(0.35,MAX(0,(Drivers!$C$45-14)*Drivers!$C$47))</f>
        <v>0</v>
      </c>
      <c r="F15" s="49">
        <f>F13*MIN(0.35,MAX(0,(Drivers!$C$45-14)*Drivers!$C$47))</f>
        <v>0</v>
      </c>
      <c r="G15" s="49">
        <f>G13*MIN(0.35,MAX(0,(Drivers!$C$45-14)*Drivers!$C$47))</f>
        <v>0</v>
      </c>
      <c r="H15" s="49">
        <f>H13*MIN(0.35,MAX(0,(Drivers!$C$45-14)*Drivers!$C$47))</f>
        <v>0</v>
      </c>
      <c r="I15" s="49">
        <f>I13*MIN(0.35,MAX(0,(Drivers!$C$45-14)*Drivers!$C$47))</f>
        <v>0</v>
      </c>
      <c r="J15" s="49">
        <f>J13*MIN(0.35,MAX(0,(Drivers!$C$45-14)*Drivers!$C$47))</f>
        <v>0</v>
      </c>
      <c r="K15" s="49">
        <f>K13*MIN(0.35,MAX(0,(Drivers!$C$45-14)*Drivers!$C$47))</f>
        <v>0</v>
      </c>
      <c r="L15" s="49">
        <f>L13*MIN(0.35,MAX(0,(Drivers!$C$45-14)*Drivers!$C$47))</f>
        <v>0</v>
      </c>
      <c r="M15" s="49">
        <f>M13*MIN(0.35,MAX(0,(Drivers!$C$45-14)*Drivers!$C$47))</f>
        <v>0</v>
      </c>
      <c r="N15" s="49">
        <f>N13*MIN(0.35,MAX(0,(Drivers!$C$45-14)*Drivers!$C$47))</f>
        <v>0</v>
      </c>
      <c r="O15" s="49">
        <f>O13*MIN(0.35,MAX(0,(Drivers!$C$45-14)*Drivers!$C$47))</f>
        <v>0</v>
      </c>
      <c r="P15" s="49">
        <f>P13*MIN(0.35,MAX(0,(Drivers!$C$45-14)*Drivers!$C$47))</f>
        <v>0</v>
      </c>
      <c r="Q15" s="49">
        <f>Q13*MIN(0.35,MAX(0,(Drivers!$C$45-14)*Drivers!$C$47))</f>
        <v>0</v>
      </c>
      <c r="R15" s="49">
        <f>R13*MIN(0.35,MAX(0,(Drivers!$C$45-14)*Drivers!$C$47))</f>
        <v>0</v>
      </c>
      <c r="S15" s="49">
        <f>S13*MIN(0.35,MAX(0,(Drivers!$C$45-14)*Drivers!$C$47))</f>
        <v>0</v>
      </c>
      <c r="T15" s="49">
        <f>T13*MIN(0.35,MAX(0,(Drivers!$C$45-14)*Drivers!$C$47))</f>
        <v>0</v>
      </c>
      <c r="U15" s="49">
        <f>U13*MIN(0.35,MAX(0,(Drivers!$C$45-14)*Drivers!$C$47))</f>
        <v>0</v>
      </c>
      <c r="V15" s="49">
        <f>V13*MIN(0.35,MAX(0,(Drivers!$C$45-14)*Drivers!$C$47))</f>
        <v>0</v>
      </c>
      <c r="W15" s="49">
        <f>W13*MIN(0.35,MAX(0,(Drivers!$C$45-14)*Drivers!$C$47))</f>
        <v>0</v>
      </c>
      <c r="X15" s="49">
        <f>X13*MIN(0.35,MAX(0,(Drivers!$C$45-14)*Drivers!$C$47))</f>
        <v>0</v>
      </c>
      <c r="Y15" s="49">
        <f>Y13*MIN(0.35,MAX(0,(Drivers!$C$45-14)*Drivers!$C$47))</f>
        <v>0</v>
      </c>
      <c r="Z15" s="49">
        <f>Z13*MIN(0.35,MAX(0,(Drivers!$C$45-14)*Drivers!$C$47))</f>
        <v>0</v>
      </c>
      <c r="AA15" s="48">
        <f>SUM(C15:Z15)</f>
        <v>0</v>
      </c>
    </row>
    <row r="16" spans="2:27" ht="18" customHeight="1" x14ac:dyDescent="0.25">
      <c r="B16" s="51" t="s">
        <v>158</v>
      </c>
      <c r="C16" s="50">
        <f>MIN((C13-C15),(C13-C15)*MIN(1,4.33/Drivers!$C$45))</f>
        <v>2628928.5714285714</v>
      </c>
      <c r="D16" s="50">
        <f>MIN((D13-D15),(D13-D15)*MIN(1,4.33/Drivers!$C$45))</f>
        <v>2156052.8061224492</v>
      </c>
      <c r="E16" s="50">
        <f>MIN((E13-E15),(E13-E15)*MIN(1,4.33/Drivers!$C$45))</f>
        <v>1829430.7596574344</v>
      </c>
      <c r="F16" s="50">
        <f>MIN((F13-F15),(F13-F15)*MIN(1,4.33/Drivers!$C$45))</f>
        <v>1603828.2461348136</v>
      </c>
      <c r="G16" s="50">
        <f>MIN((G13-G15),(G13-G15)*MIN(1,4.33/Drivers!$C$45))</f>
        <v>1448001.3671516893</v>
      </c>
      <c r="H16" s="50">
        <f>MIN((H13-H15),(H13-H15)*MIN(1,4.33/Drivers!$C$45))</f>
        <v>1340369.5157397739</v>
      </c>
      <c r="I16" s="50">
        <f>MIN((I13-I15),(I13-I15)*MIN(1,4.33/Drivers!$C$45))</f>
        <v>1266026.6583716867</v>
      </c>
      <c r="J16" s="50">
        <f>MIN((J13-J15),(J13-J15)*MIN(1,4.33/Drivers!$C$45))</f>
        <v>1214676.9847467293</v>
      </c>
      <c r="K16" s="50">
        <f>MIN((K13-K15),(K13-K15)*MIN(1,4.33/Drivers!$C$45))</f>
        <v>1179209.031607205</v>
      </c>
      <c r="L16" s="50">
        <f>MIN((L13-L15),(L13-L15)*MIN(1,4.33/Drivers!$C$45))</f>
        <v>1154710.809688691</v>
      </c>
      <c r="M16" s="50">
        <f>MIN((M13-M15),(M13-M15)*MIN(1,4.33/Drivers!$C$45))</f>
        <v>1137789.5378349745</v>
      </c>
      <c r="N16" s="50">
        <f>MIN((N13-N15),(N13-N15)*MIN(1,4.33/Drivers!$C$45))</f>
        <v>1126101.7736331574</v>
      </c>
      <c r="O16" s="50">
        <f>MIN((O13-O15),(O13-O15)*MIN(1,4.33/Drivers!$C$45))</f>
        <v>1118028.8679309022</v>
      </c>
      <c r="P16" s="50">
        <f>MIN((P13-P15),(P13-P15)*MIN(1,4.33/Drivers!$C$45))</f>
        <v>1112452.79663513</v>
      </c>
      <c r="Q16" s="50">
        <f>MIN((Q13-Q15),(Q13-Q15)*MIN(1,4.33/Drivers!$C$45))</f>
        <v>1108601.3245329792</v>
      </c>
      <c r="R16" s="50">
        <f>MIN((R13-R15),(R13-R15)*MIN(1,4.33/Drivers!$C$45))</f>
        <v>1105941.0577309933</v>
      </c>
      <c r="S16" s="50">
        <f>MIN((S13-S15),(S13-S15)*MIN(1,4.33/Drivers!$C$45))</f>
        <v>1104103.5734470503</v>
      </c>
      <c r="T16" s="50">
        <f>MIN((T13-T15),(T13-T15)*MIN(1,4.33/Drivers!$C$45))</f>
        <v>1102834.3968023555</v>
      </c>
      <c r="U16" s="50">
        <f>MIN((U13-U15),(U13-U15)*MIN(1,4.33/Drivers!$C$45))</f>
        <v>1101957.7583627698</v>
      </c>
      <c r="V16" s="50">
        <f>MIN((V13-V15),(V13-V15)*MIN(1,4.33/Drivers!$C$45))</f>
        <v>1101352.2516691417</v>
      </c>
      <c r="W16" s="50">
        <f>MIN((W13-W15),(W13-W15)*MIN(1,4.33/Drivers!$C$45))</f>
        <v>1100934.0195457572</v>
      </c>
      <c r="X16" s="50">
        <f>MIN((X13-X15),(X13-X15)*MIN(1,4.33/Drivers!$C$45))</f>
        <v>1100645.1406433908</v>
      </c>
      <c r="Y16" s="50">
        <f>MIN((Y13-Y15),(Y13-Y15)*MIN(1,4.33/Drivers!$C$45))</f>
        <v>1100445.6078586848</v>
      </c>
      <c r="Z16" s="50">
        <f>MIN((Z13-Z15),(Z13-Z15)*MIN(1,4.33/Drivers!$C$45))</f>
        <v>1100307.7877138203</v>
      </c>
      <c r="AA16" s="48">
        <f>SUM(C16:Z16)</f>
        <v>31342730.64499015</v>
      </c>
    </row>
    <row r="17" spans="2:27" ht="18" customHeight="1" x14ac:dyDescent="0.25">
      <c r="B17" s="51" t="s">
        <v>159</v>
      </c>
      <c r="C17" s="46">
        <f t="shared" ref="C17:Z17" si="3">MAX(0,C13+C14-C15-C16)</f>
        <v>6971071.4285714291</v>
      </c>
      <c r="D17" s="46">
        <f t="shared" si="3"/>
        <v>5915018.6224489799</v>
      </c>
      <c r="E17" s="46">
        <f t="shared" si="3"/>
        <v>5185587.8627915457</v>
      </c>
      <c r="F17" s="46">
        <f t="shared" si="3"/>
        <v>4681759.6166567318</v>
      </c>
      <c r="G17" s="46">
        <f t="shared" si="3"/>
        <v>4333758.249505043</v>
      </c>
      <c r="H17" s="46">
        <f t="shared" si="3"/>
        <v>4093388.7337652692</v>
      </c>
      <c r="I17" s="46">
        <f t="shared" si="3"/>
        <v>3927362.0753935818</v>
      </c>
      <c r="J17" s="46">
        <f t="shared" si="3"/>
        <v>3812685.0906468527</v>
      </c>
      <c r="K17" s="46">
        <f t="shared" si="3"/>
        <v>3733476.0590396477</v>
      </c>
      <c r="L17" s="46">
        <f t="shared" si="3"/>
        <v>3678765.2493509566</v>
      </c>
      <c r="M17" s="46">
        <f t="shared" si="3"/>
        <v>3640975.7115159822</v>
      </c>
      <c r="N17" s="46">
        <f t="shared" si="3"/>
        <v>3614873.9378828243</v>
      </c>
      <c r="O17" s="46">
        <f t="shared" si="3"/>
        <v>3596845.0699519217</v>
      </c>
      <c r="P17" s="46">
        <f t="shared" si="3"/>
        <v>3584392.2733167917</v>
      </c>
      <c r="Q17" s="46">
        <f t="shared" si="3"/>
        <v>3575790.9487838121</v>
      </c>
      <c r="R17" s="46">
        <f t="shared" si="3"/>
        <v>3569849.8910528189</v>
      </c>
      <c r="S17" s="46">
        <f t="shared" si="3"/>
        <v>3565746.3176057683</v>
      </c>
      <c r="T17" s="46">
        <f t="shared" si="3"/>
        <v>3562911.9208034128</v>
      </c>
      <c r="U17" s="46">
        <f t="shared" si="3"/>
        <v>3560954.1624406427</v>
      </c>
      <c r="V17" s="46">
        <f t="shared" si="3"/>
        <v>3559601.9107715013</v>
      </c>
      <c r="W17" s="46">
        <f t="shared" si="3"/>
        <v>3558667.891225744</v>
      </c>
      <c r="X17" s="46">
        <f t="shared" si="3"/>
        <v>3558022.7505823532</v>
      </c>
      <c r="Y17" s="46">
        <f t="shared" si="3"/>
        <v>3557577.1427236684</v>
      </c>
      <c r="Z17" s="46">
        <f t="shared" si="3"/>
        <v>3557269.3550098483</v>
      </c>
    </row>
    <row r="19" spans="2:27" ht="21.75" customHeight="1" x14ac:dyDescent="0.25">
      <c r="B19" s="94" t="s">
        <v>160</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row>
    <row r="20" spans="2:27" ht="18" customHeight="1" x14ac:dyDescent="0.25">
      <c r="B20" s="52" t="s">
        <v>161</v>
      </c>
      <c r="C20" s="53">
        <f t="shared" ref="C20:Z20" si="4">C9+C16</f>
        <v>4128928.5714285714</v>
      </c>
      <c r="D20" s="53">
        <f t="shared" si="4"/>
        <v>3056052.8061224492</v>
      </c>
      <c r="E20" s="53">
        <f t="shared" si="4"/>
        <v>2729430.7596574342</v>
      </c>
      <c r="F20" s="53">
        <f t="shared" si="4"/>
        <v>2503828.2461348139</v>
      </c>
      <c r="G20" s="53">
        <f t="shared" si="4"/>
        <v>2348001.3671516893</v>
      </c>
      <c r="H20" s="53">
        <f t="shared" si="4"/>
        <v>2240369.5157397739</v>
      </c>
      <c r="I20" s="53">
        <f t="shared" si="4"/>
        <v>2166026.6583716869</v>
      </c>
      <c r="J20" s="53">
        <f t="shared" si="4"/>
        <v>2114676.984746729</v>
      </c>
      <c r="K20" s="53">
        <f t="shared" si="4"/>
        <v>2079209.031607205</v>
      </c>
      <c r="L20" s="53">
        <f t="shared" si="4"/>
        <v>2054710.809688691</v>
      </c>
      <c r="M20" s="53">
        <f t="shared" si="4"/>
        <v>2037789.5378349745</v>
      </c>
      <c r="N20" s="53">
        <f t="shared" si="4"/>
        <v>2026101.7736331574</v>
      </c>
      <c r="O20" s="53">
        <f t="shared" si="4"/>
        <v>2018028.8679309022</v>
      </c>
      <c r="P20" s="53">
        <f t="shared" si="4"/>
        <v>2012452.79663513</v>
      </c>
      <c r="Q20" s="53">
        <f t="shared" si="4"/>
        <v>2008601.3245329792</v>
      </c>
      <c r="R20" s="53">
        <f t="shared" si="4"/>
        <v>2005941.0577309933</v>
      </c>
      <c r="S20" s="53">
        <f t="shared" si="4"/>
        <v>2004103.5734470503</v>
      </c>
      <c r="T20" s="53">
        <f t="shared" si="4"/>
        <v>2002834.3968023555</v>
      </c>
      <c r="U20" s="53">
        <f t="shared" si="4"/>
        <v>2001957.7583627698</v>
      </c>
      <c r="V20" s="53">
        <f t="shared" si="4"/>
        <v>2001352.2516691417</v>
      </c>
      <c r="W20" s="53">
        <f t="shared" si="4"/>
        <v>2000934.0195457572</v>
      </c>
      <c r="X20" s="53">
        <f t="shared" si="4"/>
        <v>2000645.1406433908</v>
      </c>
      <c r="Y20" s="53">
        <f t="shared" si="4"/>
        <v>2000445.6078586848</v>
      </c>
      <c r="Z20" s="53">
        <f t="shared" si="4"/>
        <v>2000307.7877138203</v>
      </c>
      <c r="AA20" s="48">
        <f>SUM(C20:Z20)</f>
        <v>53542730.644990139</v>
      </c>
    </row>
    <row r="21" spans="2:27" ht="18" customHeight="1" x14ac:dyDescent="0.25">
      <c r="B21" s="6" t="s">
        <v>162</v>
      </c>
      <c r="C21" s="46">
        <f t="shared" ref="C21:Z21" si="5">C7+C14</f>
        <v>2000000</v>
      </c>
      <c r="D21" s="46">
        <f t="shared" si="5"/>
        <v>2000000</v>
      </c>
      <c r="E21" s="46">
        <f t="shared" si="5"/>
        <v>2000000</v>
      </c>
      <c r="F21" s="46">
        <f t="shared" si="5"/>
        <v>2000000</v>
      </c>
      <c r="G21" s="46">
        <f t="shared" si="5"/>
        <v>2000000</v>
      </c>
      <c r="H21" s="46">
        <f t="shared" si="5"/>
        <v>2000000</v>
      </c>
      <c r="I21" s="46">
        <f t="shared" si="5"/>
        <v>2000000</v>
      </c>
      <c r="J21" s="46">
        <f t="shared" si="5"/>
        <v>2000000</v>
      </c>
      <c r="K21" s="46">
        <f t="shared" si="5"/>
        <v>2000000</v>
      </c>
      <c r="L21" s="46">
        <f t="shared" si="5"/>
        <v>2000000</v>
      </c>
      <c r="M21" s="46">
        <f t="shared" si="5"/>
        <v>2000000</v>
      </c>
      <c r="N21" s="46">
        <f t="shared" si="5"/>
        <v>2000000</v>
      </c>
      <c r="O21" s="46">
        <f t="shared" si="5"/>
        <v>2000000</v>
      </c>
      <c r="P21" s="46">
        <f t="shared" si="5"/>
        <v>2000000</v>
      </c>
      <c r="Q21" s="46">
        <f t="shared" si="5"/>
        <v>2000000</v>
      </c>
      <c r="R21" s="46">
        <f t="shared" si="5"/>
        <v>2000000</v>
      </c>
      <c r="S21" s="46">
        <f t="shared" si="5"/>
        <v>2000000</v>
      </c>
      <c r="T21" s="46">
        <f t="shared" si="5"/>
        <v>2000000</v>
      </c>
      <c r="U21" s="46">
        <f t="shared" si="5"/>
        <v>2000000</v>
      </c>
      <c r="V21" s="46">
        <f t="shared" si="5"/>
        <v>2000000</v>
      </c>
      <c r="W21" s="46">
        <f t="shared" si="5"/>
        <v>2000000</v>
      </c>
      <c r="X21" s="46">
        <f t="shared" si="5"/>
        <v>2000000</v>
      </c>
      <c r="Y21" s="46">
        <f t="shared" si="5"/>
        <v>2000000</v>
      </c>
      <c r="Z21" s="46">
        <f t="shared" si="5"/>
        <v>2000000</v>
      </c>
      <c r="AA21" s="48">
        <f>SUM(C21:Z21)</f>
        <v>48000000</v>
      </c>
    </row>
    <row r="22" spans="2:27" ht="18" customHeight="1" x14ac:dyDescent="0.25">
      <c r="B22" s="12" t="s">
        <v>163</v>
      </c>
      <c r="C22" s="54">
        <f t="shared" ref="C22:Z22" si="6">C8+C15</f>
        <v>0</v>
      </c>
      <c r="D22" s="54">
        <f t="shared" si="6"/>
        <v>0</v>
      </c>
      <c r="E22" s="54">
        <f t="shared" si="6"/>
        <v>0</v>
      </c>
      <c r="F22" s="54">
        <f t="shared" si="6"/>
        <v>0</v>
      </c>
      <c r="G22" s="54">
        <f t="shared" si="6"/>
        <v>0</v>
      </c>
      <c r="H22" s="54">
        <f t="shared" si="6"/>
        <v>0</v>
      </c>
      <c r="I22" s="54">
        <f t="shared" si="6"/>
        <v>0</v>
      </c>
      <c r="J22" s="54">
        <f t="shared" si="6"/>
        <v>0</v>
      </c>
      <c r="K22" s="54">
        <f t="shared" si="6"/>
        <v>0</v>
      </c>
      <c r="L22" s="54">
        <f t="shared" si="6"/>
        <v>0</v>
      </c>
      <c r="M22" s="54">
        <f t="shared" si="6"/>
        <v>0</v>
      </c>
      <c r="N22" s="54">
        <f t="shared" si="6"/>
        <v>0</v>
      </c>
      <c r="O22" s="54">
        <f t="shared" si="6"/>
        <v>0</v>
      </c>
      <c r="P22" s="54">
        <f t="shared" si="6"/>
        <v>0</v>
      </c>
      <c r="Q22" s="54">
        <f t="shared" si="6"/>
        <v>0</v>
      </c>
      <c r="R22" s="54">
        <f t="shared" si="6"/>
        <v>0</v>
      </c>
      <c r="S22" s="54">
        <f t="shared" si="6"/>
        <v>0</v>
      </c>
      <c r="T22" s="54">
        <f t="shared" si="6"/>
        <v>0</v>
      </c>
      <c r="U22" s="54">
        <f t="shared" si="6"/>
        <v>0</v>
      </c>
      <c r="V22" s="54">
        <f t="shared" si="6"/>
        <v>0</v>
      </c>
      <c r="W22" s="54">
        <f t="shared" si="6"/>
        <v>0</v>
      </c>
      <c r="X22" s="54">
        <f t="shared" si="6"/>
        <v>0</v>
      </c>
      <c r="Y22" s="54">
        <f t="shared" si="6"/>
        <v>0</v>
      </c>
      <c r="Z22" s="54">
        <f t="shared" si="6"/>
        <v>0</v>
      </c>
      <c r="AA22" s="48">
        <f>SUM(C22:Z22)</f>
        <v>0</v>
      </c>
    </row>
    <row r="23" spans="2:27" ht="18" customHeight="1" x14ac:dyDescent="0.25">
      <c r="B23" s="52" t="s">
        <v>164</v>
      </c>
      <c r="C23" s="48">
        <f t="shared" ref="C23:Z23" si="7">C10+C17</f>
        <v>7871071.4285714291</v>
      </c>
      <c r="D23" s="48">
        <f t="shared" si="7"/>
        <v>6815018.6224489799</v>
      </c>
      <c r="E23" s="48">
        <f t="shared" si="7"/>
        <v>6085587.8627915457</v>
      </c>
      <c r="F23" s="48">
        <f t="shared" si="7"/>
        <v>5581759.6166567318</v>
      </c>
      <c r="G23" s="48">
        <f t="shared" si="7"/>
        <v>5233758.249505043</v>
      </c>
      <c r="H23" s="48">
        <f t="shared" si="7"/>
        <v>4993388.7337652687</v>
      </c>
      <c r="I23" s="48">
        <f t="shared" si="7"/>
        <v>4827362.0753935818</v>
      </c>
      <c r="J23" s="48">
        <f t="shared" si="7"/>
        <v>4712685.0906468527</v>
      </c>
      <c r="K23" s="48">
        <f t="shared" si="7"/>
        <v>4633476.0590396477</v>
      </c>
      <c r="L23" s="48">
        <f t="shared" si="7"/>
        <v>4578765.2493509566</v>
      </c>
      <c r="M23" s="48">
        <f t="shared" si="7"/>
        <v>4540975.7115159817</v>
      </c>
      <c r="N23" s="48">
        <f t="shared" si="7"/>
        <v>4514873.9378828239</v>
      </c>
      <c r="O23" s="48">
        <f t="shared" si="7"/>
        <v>4496845.0699519217</v>
      </c>
      <c r="P23" s="48">
        <f t="shared" si="7"/>
        <v>4484392.2733167913</v>
      </c>
      <c r="Q23" s="48">
        <f t="shared" si="7"/>
        <v>4475790.9487838121</v>
      </c>
      <c r="R23" s="48">
        <f t="shared" si="7"/>
        <v>4469849.8910528189</v>
      </c>
      <c r="S23" s="48">
        <f t="shared" si="7"/>
        <v>4465746.3176057683</v>
      </c>
      <c r="T23" s="48">
        <f t="shared" si="7"/>
        <v>4462911.9208034128</v>
      </c>
      <c r="U23" s="48">
        <f t="shared" si="7"/>
        <v>4460954.1624406427</v>
      </c>
      <c r="V23" s="48">
        <f t="shared" si="7"/>
        <v>4459601.9107715013</v>
      </c>
      <c r="W23" s="48">
        <f t="shared" si="7"/>
        <v>4458667.891225744</v>
      </c>
      <c r="X23" s="48">
        <f t="shared" si="7"/>
        <v>4458022.7505823532</v>
      </c>
      <c r="Y23" s="48">
        <f t="shared" si="7"/>
        <v>4457577.1427236684</v>
      </c>
      <c r="Z23" s="48">
        <f t="shared" si="7"/>
        <v>4457269.3550098483</v>
      </c>
    </row>
    <row r="24" spans="2:27" ht="18" customHeight="1" x14ac:dyDescent="0.25">
      <c r="B24" s="52" t="s">
        <v>165</v>
      </c>
      <c r="C24" s="55">
        <f t="shared" ref="C24:Z24" si="8">IFERROR(C21/C20,0)</f>
        <v>0.48438716374016089</v>
      </c>
      <c r="D24" s="55">
        <f t="shared" si="8"/>
        <v>0.65443895340853753</v>
      </c>
      <c r="E24" s="55">
        <f t="shared" si="8"/>
        <v>0.73275352119612525</v>
      </c>
      <c r="F24" s="55">
        <f t="shared" si="8"/>
        <v>0.79877683426865287</v>
      </c>
      <c r="G24" s="55">
        <f t="shared" si="8"/>
        <v>0.85178826042429334</v>
      </c>
      <c r="H24" s="55">
        <f t="shared" si="8"/>
        <v>0.89270987930738588</v>
      </c>
      <c r="I24" s="55">
        <f t="shared" si="8"/>
        <v>0.92334966989903178</v>
      </c>
      <c r="J24" s="55">
        <f t="shared" si="8"/>
        <v>0.94577092124523043</v>
      </c>
      <c r="K24" s="55">
        <f t="shared" si="8"/>
        <v>0.96190424800820662</v>
      </c>
      <c r="L24" s="55">
        <f t="shared" si="8"/>
        <v>0.97337298785273818</v>
      </c>
      <c r="M24" s="55">
        <f t="shared" si="8"/>
        <v>0.9814556228043434</v>
      </c>
      <c r="N24" s="55">
        <f t="shared" si="8"/>
        <v>0.98711724456646999</v>
      </c>
      <c r="O24" s="55">
        <f t="shared" si="8"/>
        <v>0.99106610008538321</v>
      </c>
      <c r="P24" s="55">
        <f t="shared" si="8"/>
        <v>0.99381212982687028</v>
      </c>
      <c r="Q24" s="55">
        <f t="shared" si="8"/>
        <v>0.99571775422632514</v>
      </c>
      <c r="R24" s="55">
        <f t="shared" si="8"/>
        <v>0.99703826904180648</v>
      </c>
      <c r="S24" s="55">
        <f t="shared" si="8"/>
        <v>0.9979524144852493</v>
      </c>
      <c r="T24" s="55">
        <f t="shared" si="8"/>
        <v>0.99858480720778475</v>
      </c>
      <c r="U24" s="55">
        <f t="shared" si="8"/>
        <v>0.99902207808601773</v>
      </c>
      <c r="V24" s="55">
        <f t="shared" si="8"/>
        <v>0.9993243310026938</v>
      </c>
      <c r="W24" s="55">
        <f t="shared" si="8"/>
        <v>0.99953320822344294</v>
      </c>
      <c r="X24" s="55">
        <f t="shared" si="8"/>
        <v>0.99967753369636392</v>
      </c>
      <c r="Y24" s="55">
        <f t="shared" si="8"/>
        <v>0.99977724570119064</v>
      </c>
      <c r="Z24" s="55">
        <f t="shared" si="8"/>
        <v>0.99984612982276488</v>
      </c>
    </row>
    <row r="25" spans="2:27" ht="18" customHeight="1" x14ac:dyDescent="0.25">
      <c r="B25" s="52" t="s">
        <v>166</v>
      </c>
      <c r="C25" s="56">
        <f t="shared" ref="C25:Z25" si="9">IFERROR(C23/C20,0)</f>
        <v>1.9063229824409655</v>
      </c>
      <c r="D25" s="56">
        <f t="shared" si="9"/>
        <v>2.2300068273676019</v>
      </c>
      <c r="E25" s="56">
        <f t="shared" si="9"/>
        <v>2.2296179675044536</v>
      </c>
      <c r="F25" s="56">
        <f t="shared" si="9"/>
        <v>2.2292901381208368</v>
      </c>
      <c r="G25" s="56">
        <f t="shared" si="9"/>
        <v>2.2290269174135977</v>
      </c>
      <c r="H25" s="56">
        <f t="shared" si="9"/>
        <v>2.2288237269272266</v>
      </c>
      <c r="I25" s="56">
        <f t="shared" si="9"/>
        <v>2.2286715893988842</v>
      </c>
      <c r="J25" s="56">
        <f t="shared" si="9"/>
        <v>2.2285602598598682</v>
      </c>
      <c r="K25" s="56">
        <f t="shared" si="9"/>
        <v>2.2284801521172803</v>
      </c>
      <c r="L25" s="56">
        <f t="shared" si="9"/>
        <v>2.228423205718514</v>
      </c>
      <c r="M25" s="56">
        <f t="shared" si="9"/>
        <v>2.2283830725426572</v>
      </c>
      <c r="N25" s="56">
        <f t="shared" si="9"/>
        <v>2.2283549605639306</v>
      </c>
      <c r="O25" s="56">
        <f t="shared" si="9"/>
        <v>2.2283353530827168</v>
      </c>
      <c r="P25" s="56">
        <f t="shared" si="9"/>
        <v>2.2283217180620607</v>
      </c>
      <c r="Q25" s="56">
        <f t="shared" si="9"/>
        <v>2.2283122559547652</v>
      </c>
      <c r="R25" s="56">
        <f t="shared" si="9"/>
        <v>2.2283056991260048</v>
      </c>
      <c r="S25" s="56">
        <f t="shared" si="9"/>
        <v>2.2283011600666436</v>
      </c>
      <c r="T25" s="56">
        <f t="shared" si="9"/>
        <v>2.2282980200104001</v>
      </c>
      <c r="U25" s="56">
        <f t="shared" si="9"/>
        <v>2.2282958488039606</v>
      </c>
      <c r="V25" s="56">
        <f t="shared" si="9"/>
        <v>2.2282943480100328</v>
      </c>
      <c r="W25" s="56">
        <f t="shared" si="9"/>
        <v>2.2282933108598604</v>
      </c>
      <c r="X25" s="56">
        <f t="shared" si="9"/>
        <v>2.2282925942322236</v>
      </c>
      <c r="Y25" s="56">
        <f t="shared" si="9"/>
        <v>2.2282920991264263</v>
      </c>
      <c r="Z25" s="56">
        <f t="shared" si="9"/>
        <v>2.2282917570921041</v>
      </c>
    </row>
  </sheetData>
  <mergeCells count="5">
    <mergeCell ref="B1:AA1"/>
    <mergeCell ref="B2:AA2"/>
    <mergeCell ref="B5:AA5"/>
    <mergeCell ref="B12:AA12"/>
    <mergeCell ref="B19:AA19"/>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31"/>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3" customWidth="1"/>
    <col min="2" max="2" width="32" customWidth="1"/>
    <col min="3" max="27" width="11" customWidth="1"/>
  </cols>
  <sheetData>
    <row r="1" spans="2:27" ht="30" customHeight="1" x14ac:dyDescent="0.25">
      <c r="B1" s="90" t="s">
        <v>167</v>
      </c>
      <c r="C1" s="90"/>
      <c r="D1" s="90"/>
      <c r="E1" s="90"/>
      <c r="F1" s="90"/>
      <c r="G1" s="90"/>
      <c r="H1" s="90"/>
      <c r="I1" s="90"/>
      <c r="J1" s="90"/>
      <c r="K1" s="90"/>
      <c r="L1" s="90"/>
      <c r="M1" s="90"/>
      <c r="N1" s="90"/>
      <c r="O1" s="90"/>
      <c r="P1" s="90"/>
      <c r="Q1" s="90"/>
      <c r="R1" s="90"/>
      <c r="S1" s="90"/>
      <c r="T1" s="90"/>
      <c r="U1" s="90"/>
      <c r="V1" s="90"/>
      <c r="W1" s="90"/>
      <c r="X1" s="90"/>
      <c r="Y1" s="90"/>
      <c r="Z1" s="90"/>
      <c r="AA1" s="90"/>
    </row>
    <row r="2" spans="2:27" ht="15" customHeight="1" x14ac:dyDescent="0.25">
      <c r="B2" s="95" t="str">
        <f>"Active Scenario: "&amp;Drivers!D5</f>
        <v>Active Scenario: BASE</v>
      </c>
      <c r="C2" s="95"/>
      <c r="D2" s="95"/>
      <c r="E2" s="95"/>
      <c r="F2" s="95"/>
      <c r="G2" s="95"/>
      <c r="H2" s="95"/>
      <c r="I2" s="95"/>
      <c r="J2" s="95"/>
      <c r="K2" s="95"/>
      <c r="L2" s="95"/>
      <c r="M2" s="95"/>
      <c r="N2" s="95"/>
      <c r="O2" s="95"/>
      <c r="P2" s="95"/>
      <c r="Q2" s="95"/>
      <c r="R2" s="95"/>
      <c r="S2" s="95"/>
      <c r="T2" s="95"/>
      <c r="U2" s="95"/>
      <c r="V2" s="95"/>
      <c r="W2" s="95"/>
      <c r="X2" s="95"/>
      <c r="Y2" s="95"/>
      <c r="Z2" s="95"/>
      <c r="AA2" s="95"/>
    </row>
    <row r="4" spans="2:27" ht="19.5" customHeight="1" x14ac:dyDescent="0.25">
      <c r="B4" s="43" t="s">
        <v>168</v>
      </c>
      <c r="C4" s="5" t="s">
        <v>130</v>
      </c>
      <c r="D4" s="5" t="s">
        <v>131</v>
      </c>
      <c r="E4" s="5" t="s">
        <v>132</v>
      </c>
      <c r="F4" s="5" t="s">
        <v>133</v>
      </c>
      <c r="G4" s="5" t="s">
        <v>134</v>
      </c>
      <c r="H4" s="5" t="s">
        <v>135</v>
      </c>
      <c r="I4" s="5" t="s">
        <v>136</v>
      </c>
      <c r="J4" s="5" t="s">
        <v>137</v>
      </c>
      <c r="K4" s="5" t="s">
        <v>138</v>
      </c>
      <c r="L4" s="5" t="s">
        <v>139</v>
      </c>
      <c r="M4" s="5" t="s">
        <v>140</v>
      </c>
      <c r="N4" s="5" t="s">
        <v>141</v>
      </c>
      <c r="O4" s="5" t="s">
        <v>142</v>
      </c>
      <c r="P4" s="5" t="s">
        <v>143</v>
      </c>
      <c r="Q4" s="5" t="s">
        <v>144</v>
      </c>
      <c r="R4" s="5" t="s">
        <v>145</v>
      </c>
      <c r="S4" s="5" t="s">
        <v>146</v>
      </c>
      <c r="T4" s="5" t="s">
        <v>147</v>
      </c>
      <c r="U4" s="5" t="s">
        <v>148</v>
      </c>
      <c r="V4" s="5" t="s">
        <v>149</v>
      </c>
      <c r="W4" s="5" t="s">
        <v>150</v>
      </c>
      <c r="X4" s="5" t="s">
        <v>151</v>
      </c>
      <c r="Y4" s="5" t="s">
        <v>152</v>
      </c>
      <c r="Z4" s="5" t="s">
        <v>153</v>
      </c>
      <c r="AA4" s="44" t="s">
        <v>154</v>
      </c>
    </row>
    <row r="5" spans="2:27" ht="19.5" customHeight="1" x14ac:dyDescent="0.25">
      <c r="B5" s="89" t="s">
        <v>169</v>
      </c>
      <c r="C5" s="89"/>
      <c r="D5" s="89"/>
      <c r="E5" s="89"/>
      <c r="F5" s="89"/>
      <c r="G5" s="89"/>
      <c r="H5" s="89"/>
      <c r="I5" s="89"/>
      <c r="J5" s="89"/>
      <c r="K5" s="89"/>
      <c r="L5" s="89"/>
      <c r="M5" s="89"/>
      <c r="N5" s="89"/>
      <c r="O5" s="89"/>
      <c r="P5" s="89"/>
      <c r="Q5" s="89"/>
      <c r="R5" s="89"/>
      <c r="S5" s="89"/>
      <c r="T5" s="89"/>
      <c r="U5" s="89"/>
      <c r="V5" s="89"/>
      <c r="W5" s="89"/>
      <c r="X5" s="89"/>
      <c r="Y5" s="89"/>
      <c r="Z5" s="89"/>
      <c r="AA5" s="89"/>
    </row>
    <row r="6" spans="2:27" ht="18" customHeight="1" x14ac:dyDescent="0.25">
      <c r="B6" s="12" t="s">
        <v>170</v>
      </c>
      <c r="C6" s="46">
        <f>'Backlog &amp; Orders'!C9</f>
        <v>1500000</v>
      </c>
      <c r="D6" s="46">
        <f>'Backlog &amp; Orders'!D9</f>
        <v>900000</v>
      </c>
      <c r="E6" s="46">
        <f>'Backlog &amp; Orders'!E9</f>
        <v>900000</v>
      </c>
      <c r="F6" s="46">
        <f>'Backlog &amp; Orders'!F9</f>
        <v>900000</v>
      </c>
      <c r="G6" s="46">
        <f>'Backlog &amp; Orders'!G9</f>
        <v>900000</v>
      </c>
      <c r="H6" s="46">
        <f>'Backlog &amp; Orders'!H9</f>
        <v>900000</v>
      </c>
      <c r="I6" s="46">
        <f>'Backlog &amp; Orders'!I9</f>
        <v>900000</v>
      </c>
      <c r="J6" s="46">
        <f>'Backlog &amp; Orders'!J9</f>
        <v>900000</v>
      </c>
      <c r="K6" s="46">
        <f>'Backlog &amp; Orders'!K9</f>
        <v>900000</v>
      </c>
      <c r="L6" s="46">
        <f>'Backlog &amp; Orders'!L9</f>
        <v>900000</v>
      </c>
      <c r="M6" s="46">
        <f>'Backlog &amp; Orders'!M9</f>
        <v>900000</v>
      </c>
      <c r="N6" s="46">
        <f>'Backlog &amp; Orders'!N9</f>
        <v>900000</v>
      </c>
      <c r="O6" s="46">
        <f>'Backlog &amp; Orders'!O9</f>
        <v>900000</v>
      </c>
      <c r="P6" s="46">
        <f>'Backlog &amp; Orders'!P9</f>
        <v>900000</v>
      </c>
      <c r="Q6" s="46">
        <f>'Backlog &amp; Orders'!Q9</f>
        <v>900000</v>
      </c>
      <c r="R6" s="46">
        <f>'Backlog &amp; Orders'!R9</f>
        <v>900000</v>
      </c>
      <c r="S6" s="46">
        <f>'Backlog &amp; Orders'!S9</f>
        <v>900000</v>
      </c>
      <c r="T6" s="46">
        <f>'Backlog &amp; Orders'!T9</f>
        <v>900000</v>
      </c>
      <c r="U6" s="46">
        <f>'Backlog &amp; Orders'!U9</f>
        <v>900000</v>
      </c>
      <c r="V6" s="46">
        <f>'Backlog &amp; Orders'!V9</f>
        <v>900000</v>
      </c>
      <c r="W6" s="46">
        <f>'Backlog &amp; Orders'!W9</f>
        <v>900000</v>
      </c>
      <c r="X6" s="46">
        <f>'Backlog &amp; Orders'!X9</f>
        <v>900000</v>
      </c>
      <c r="Y6" s="46">
        <f>'Backlog &amp; Orders'!Y9</f>
        <v>900000</v>
      </c>
      <c r="Z6" s="46">
        <f>'Backlog &amp; Orders'!Z9</f>
        <v>900000</v>
      </c>
      <c r="AA6" s="48">
        <f>SUM(C6:Z6)</f>
        <v>22200000</v>
      </c>
    </row>
    <row r="7" spans="2:27" ht="18" customHeight="1" x14ac:dyDescent="0.25">
      <c r="B7" s="6" t="s">
        <v>171</v>
      </c>
      <c r="C7" s="47">
        <f>'Backlog &amp; Orders'!C16</f>
        <v>2628928.5714285714</v>
      </c>
      <c r="D7" s="47">
        <f>'Backlog &amp; Orders'!D16</f>
        <v>2156052.8061224492</v>
      </c>
      <c r="E7" s="47">
        <f>'Backlog &amp; Orders'!E16</f>
        <v>1829430.7596574344</v>
      </c>
      <c r="F7" s="47">
        <f>'Backlog &amp; Orders'!F16</f>
        <v>1603828.2461348136</v>
      </c>
      <c r="G7" s="47">
        <f>'Backlog &amp; Orders'!G16</f>
        <v>1448001.3671516893</v>
      </c>
      <c r="H7" s="47">
        <f>'Backlog &amp; Orders'!H16</f>
        <v>1340369.5157397739</v>
      </c>
      <c r="I7" s="47">
        <f>'Backlog &amp; Orders'!I16</f>
        <v>1266026.6583716867</v>
      </c>
      <c r="J7" s="47">
        <f>'Backlog &amp; Orders'!J16</f>
        <v>1214676.9847467293</v>
      </c>
      <c r="K7" s="47">
        <f>'Backlog &amp; Orders'!K16</f>
        <v>1179209.031607205</v>
      </c>
      <c r="L7" s="47">
        <f>'Backlog &amp; Orders'!L16</f>
        <v>1154710.809688691</v>
      </c>
      <c r="M7" s="47">
        <f>'Backlog &amp; Orders'!M16</f>
        <v>1137789.5378349745</v>
      </c>
      <c r="N7" s="47">
        <f>'Backlog &amp; Orders'!N16</f>
        <v>1126101.7736331574</v>
      </c>
      <c r="O7" s="47">
        <f>'Backlog &amp; Orders'!O16</f>
        <v>1118028.8679309022</v>
      </c>
      <c r="P7" s="47">
        <f>'Backlog &amp; Orders'!P16</f>
        <v>1112452.79663513</v>
      </c>
      <c r="Q7" s="47">
        <f>'Backlog &amp; Orders'!Q16</f>
        <v>1108601.3245329792</v>
      </c>
      <c r="R7" s="47">
        <f>'Backlog &amp; Orders'!R16</f>
        <v>1105941.0577309933</v>
      </c>
      <c r="S7" s="47">
        <f>'Backlog &amp; Orders'!S16</f>
        <v>1104103.5734470503</v>
      </c>
      <c r="T7" s="47">
        <f>'Backlog &amp; Orders'!T16</f>
        <v>1102834.3968023555</v>
      </c>
      <c r="U7" s="47">
        <f>'Backlog &amp; Orders'!U16</f>
        <v>1101957.7583627698</v>
      </c>
      <c r="V7" s="47">
        <f>'Backlog &amp; Orders'!V16</f>
        <v>1101352.2516691417</v>
      </c>
      <c r="W7" s="47">
        <f>'Backlog &amp; Orders'!W16</f>
        <v>1100934.0195457572</v>
      </c>
      <c r="X7" s="47">
        <f>'Backlog &amp; Orders'!X16</f>
        <v>1100645.1406433908</v>
      </c>
      <c r="Y7" s="47">
        <f>'Backlog &amp; Orders'!Y16</f>
        <v>1100445.6078586848</v>
      </c>
      <c r="Z7" s="47">
        <f>'Backlog &amp; Orders'!Z16</f>
        <v>1100307.7877138203</v>
      </c>
      <c r="AA7" s="48">
        <f>SUM(C7:Z7)</f>
        <v>31342730.64499015</v>
      </c>
    </row>
    <row r="8" spans="2:27" ht="18" customHeight="1" x14ac:dyDescent="0.25">
      <c r="B8" s="52" t="s">
        <v>161</v>
      </c>
      <c r="C8" s="48">
        <f t="shared" ref="C8:Z8" si="0">SUM(C6:C7)</f>
        <v>4128928.5714285714</v>
      </c>
      <c r="D8" s="48">
        <f t="shared" si="0"/>
        <v>3056052.8061224492</v>
      </c>
      <c r="E8" s="48">
        <f t="shared" si="0"/>
        <v>2729430.7596574342</v>
      </c>
      <c r="F8" s="48">
        <f t="shared" si="0"/>
        <v>2503828.2461348139</v>
      </c>
      <c r="G8" s="48">
        <f t="shared" si="0"/>
        <v>2348001.3671516893</v>
      </c>
      <c r="H8" s="48">
        <f t="shared" si="0"/>
        <v>2240369.5157397739</v>
      </c>
      <c r="I8" s="48">
        <f t="shared" si="0"/>
        <v>2166026.6583716869</v>
      </c>
      <c r="J8" s="48">
        <f t="shared" si="0"/>
        <v>2114676.984746729</v>
      </c>
      <c r="K8" s="48">
        <f t="shared" si="0"/>
        <v>2079209.031607205</v>
      </c>
      <c r="L8" s="48">
        <f t="shared" si="0"/>
        <v>2054710.809688691</v>
      </c>
      <c r="M8" s="48">
        <f t="shared" si="0"/>
        <v>2037789.5378349745</v>
      </c>
      <c r="N8" s="48">
        <f t="shared" si="0"/>
        <v>2026101.7736331574</v>
      </c>
      <c r="O8" s="48">
        <f t="shared" si="0"/>
        <v>2018028.8679309022</v>
      </c>
      <c r="P8" s="48">
        <f t="shared" si="0"/>
        <v>2012452.79663513</v>
      </c>
      <c r="Q8" s="48">
        <f t="shared" si="0"/>
        <v>2008601.3245329792</v>
      </c>
      <c r="R8" s="48">
        <f t="shared" si="0"/>
        <v>2005941.0577309933</v>
      </c>
      <c r="S8" s="48">
        <f t="shared" si="0"/>
        <v>2004103.5734470503</v>
      </c>
      <c r="T8" s="48">
        <f t="shared" si="0"/>
        <v>2002834.3968023555</v>
      </c>
      <c r="U8" s="48">
        <f t="shared" si="0"/>
        <v>2001957.7583627698</v>
      </c>
      <c r="V8" s="48">
        <f t="shared" si="0"/>
        <v>2001352.2516691417</v>
      </c>
      <c r="W8" s="48">
        <f t="shared" si="0"/>
        <v>2000934.0195457572</v>
      </c>
      <c r="X8" s="48">
        <f t="shared" si="0"/>
        <v>2000645.1406433908</v>
      </c>
      <c r="Y8" s="48">
        <f t="shared" si="0"/>
        <v>2000445.6078586848</v>
      </c>
      <c r="Z8" s="48">
        <f t="shared" si="0"/>
        <v>2000307.7877138203</v>
      </c>
      <c r="AA8" s="48">
        <f>SUM(C8:Z8)</f>
        <v>53542730.644990139</v>
      </c>
    </row>
    <row r="10" spans="2:27" ht="19.5" customHeight="1" x14ac:dyDescent="0.25">
      <c r="B10" s="89" t="s">
        <v>172</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row>
    <row r="11" spans="2:27" ht="18" customHeight="1" x14ac:dyDescent="0.25">
      <c r="B11" s="6" t="s">
        <v>173</v>
      </c>
      <c r="C11" s="47">
        <f>-C8*Drivers!$C$51</f>
        <v>-1734150</v>
      </c>
      <c r="D11" s="47">
        <f>-D8*Drivers!$C$51</f>
        <v>-1283542.1785714286</v>
      </c>
      <c r="E11" s="47">
        <f>-E8*Drivers!$C$51</f>
        <v>-1146360.9190561224</v>
      </c>
      <c r="F11" s="47">
        <f>-F8*Drivers!$C$51</f>
        <v>-1051607.8633766219</v>
      </c>
      <c r="G11" s="47">
        <f>-G8*Drivers!$C$51</f>
        <v>-986160.57420370949</v>
      </c>
      <c r="H11" s="47">
        <f>-H8*Drivers!$C$51</f>
        <v>-940955.196610705</v>
      </c>
      <c r="I11" s="47">
        <f>-I8*Drivers!$C$51</f>
        <v>-909731.19651610847</v>
      </c>
      <c r="J11" s="47">
        <f>-J8*Drivers!$C$51</f>
        <v>-888164.33359362616</v>
      </c>
      <c r="K11" s="47">
        <f>-K8*Drivers!$C$51</f>
        <v>-873267.79327502614</v>
      </c>
      <c r="L11" s="47">
        <f>-L8*Drivers!$C$51</f>
        <v>-862978.54006925016</v>
      </c>
      <c r="M11" s="47">
        <f>-M8*Drivers!$C$51</f>
        <v>-855871.6058906893</v>
      </c>
      <c r="N11" s="47">
        <f>-N8*Drivers!$C$51</f>
        <v>-850962.74492592609</v>
      </c>
      <c r="O11" s="47">
        <f>-O8*Drivers!$C$51</f>
        <v>-847572.12453097885</v>
      </c>
      <c r="P11" s="47">
        <f>-P8*Drivers!$C$51</f>
        <v>-845230.17458675453</v>
      </c>
      <c r="Q11" s="47">
        <f>-Q8*Drivers!$C$51</f>
        <v>-843612.55630385119</v>
      </c>
      <c r="R11" s="47">
        <f>-R8*Drivers!$C$51</f>
        <v>-842495.24424701708</v>
      </c>
      <c r="S11" s="47">
        <f>-S8*Drivers!$C$51</f>
        <v>-841723.50084776105</v>
      </c>
      <c r="T11" s="47">
        <f>-T8*Drivers!$C$51</f>
        <v>-841190.44665698928</v>
      </c>
      <c r="U11" s="47">
        <f>-U8*Drivers!$C$51</f>
        <v>-840822.2585123633</v>
      </c>
      <c r="V11" s="47">
        <f>-V8*Drivers!$C$51</f>
        <v>-840567.94570103951</v>
      </c>
      <c r="W11" s="47">
        <f>-W8*Drivers!$C$51</f>
        <v>-840392.28820921795</v>
      </c>
      <c r="X11" s="47">
        <f>-X8*Drivers!$C$51</f>
        <v>-840270.95907022408</v>
      </c>
      <c r="Y11" s="47">
        <f>-Y8*Drivers!$C$51</f>
        <v>-840187.1553006476</v>
      </c>
      <c r="Z11" s="47">
        <f>-Z8*Drivers!$C$51</f>
        <v>-840129.27083980455</v>
      </c>
      <c r="AA11" s="48">
        <f>SUM(C11:Z11)</f>
        <v>-22487946.870895863</v>
      </c>
    </row>
    <row r="12" spans="2:27" ht="18" customHeight="1" x14ac:dyDescent="0.25">
      <c r="B12" s="12" t="s">
        <v>174</v>
      </c>
      <c r="C12" s="46">
        <f>-C8*Drivers!$C$49</f>
        <v>-743207.14285714284</v>
      </c>
      <c r="D12" s="46">
        <f>-D8*Drivers!$C$49</f>
        <v>-550089.50510204083</v>
      </c>
      <c r="E12" s="46">
        <f>-E8*Drivers!$C$49</f>
        <v>-491297.53673833812</v>
      </c>
      <c r="F12" s="46">
        <f>-F8*Drivers!$C$49</f>
        <v>-450689.08430426649</v>
      </c>
      <c r="G12" s="46">
        <f>-G8*Drivers!$C$49</f>
        <v>-422640.24608730403</v>
      </c>
      <c r="H12" s="46">
        <f>-H8*Drivers!$C$49</f>
        <v>-403266.5128331593</v>
      </c>
      <c r="I12" s="46">
        <f>-I8*Drivers!$C$49</f>
        <v>-389884.79850690364</v>
      </c>
      <c r="J12" s="46">
        <f>-J8*Drivers!$C$49</f>
        <v>-380641.85725441121</v>
      </c>
      <c r="K12" s="46">
        <f>-K8*Drivers!$C$49</f>
        <v>-374257.62568929687</v>
      </c>
      <c r="L12" s="46">
        <f>-L8*Drivers!$C$49</f>
        <v>-369847.9457439644</v>
      </c>
      <c r="M12" s="46">
        <f>-M8*Drivers!$C$49</f>
        <v>-366802.11681029538</v>
      </c>
      <c r="N12" s="46">
        <f>-N8*Drivers!$C$49</f>
        <v>-364698.31925396831</v>
      </c>
      <c r="O12" s="46">
        <f>-O8*Drivers!$C$49</f>
        <v>-363245.19622756238</v>
      </c>
      <c r="P12" s="46">
        <f>-P8*Drivers!$C$49</f>
        <v>-362241.5033943234</v>
      </c>
      <c r="Q12" s="46">
        <f>-Q8*Drivers!$C$49</f>
        <v>-361548.23841593624</v>
      </c>
      <c r="R12" s="46">
        <f>-R8*Drivers!$C$49</f>
        <v>-361069.39039157878</v>
      </c>
      <c r="S12" s="46">
        <f>-S8*Drivers!$C$49</f>
        <v>-360738.64322046906</v>
      </c>
      <c r="T12" s="46">
        <f>-T8*Drivers!$C$49</f>
        <v>-360510.191424424</v>
      </c>
      <c r="U12" s="46">
        <f>-U8*Drivers!$C$49</f>
        <v>-360352.39650529856</v>
      </c>
      <c r="V12" s="46">
        <f>-V8*Drivers!$C$49</f>
        <v>-360243.40530044551</v>
      </c>
      <c r="W12" s="46">
        <f>-W8*Drivers!$C$49</f>
        <v>-360168.12351823627</v>
      </c>
      <c r="X12" s="46">
        <f>-X8*Drivers!$C$49</f>
        <v>-360116.12531581032</v>
      </c>
      <c r="Y12" s="46">
        <f>-Y8*Drivers!$C$49</f>
        <v>-360080.20941456326</v>
      </c>
      <c r="Z12" s="46">
        <f>-Z8*Drivers!$C$49</f>
        <v>-360055.40178848762</v>
      </c>
      <c r="AA12" s="48">
        <f>SUM(C12:Z12)</f>
        <v>-9637691.5160982274</v>
      </c>
    </row>
    <row r="13" spans="2:27" ht="18" customHeight="1" x14ac:dyDescent="0.25">
      <c r="B13" s="6" t="s">
        <v>175</v>
      </c>
      <c r="C13" s="47">
        <f>-Drivers!$C$50</f>
        <v>-250000</v>
      </c>
      <c r="D13" s="47">
        <f>-Drivers!$C$50</f>
        <v>-250000</v>
      </c>
      <c r="E13" s="47">
        <f>-Drivers!$C$50</f>
        <v>-250000</v>
      </c>
      <c r="F13" s="47">
        <f>-Drivers!$C$50</f>
        <v>-250000</v>
      </c>
      <c r="G13" s="47">
        <f>-Drivers!$C$50</f>
        <v>-250000</v>
      </c>
      <c r="H13" s="47">
        <f>-Drivers!$C$50</f>
        <v>-250000</v>
      </c>
      <c r="I13" s="47">
        <f>-Drivers!$C$50</f>
        <v>-250000</v>
      </c>
      <c r="J13" s="47">
        <f>-Drivers!$C$50</f>
        <v>-250000</v>
      </c>
      <c r="K13" s="47">
        <f>-Drivers!$C$50</f>
        <v>-250000</v>
      </c>
      <c r="L13" s="47">
        <f>-Drivers!$C$50</f>
        <v>-250000</v>
      </c>
      <c r="M13" s="47">
        <f>-Drivers!$C$50</f>
        <v>-250000</v>
      </c>
      <c r="N13" s="47">
        <f>-Drivers!$C$50</f>
        <v>-250000</v>
      </c>
      <c r="O13" s="47">
        <f>-Drivers!$C$50</f>
        <v>-250000</v>
      </c>
      <c r="P13" s="47">
        <f>-Drivers!$C$50</f>
        <v>-250000</v>
      </c>
      <c r="Q13" s="47">
        <f>-Drivers!$C$50</f>
        <v>-250000</v>
      </c>
      <c r="R13" s="47">
        <f>-Drivers!$C$50</f>
        <v>-250000</v>
      </c>
      <c r="S13" s="47">
        <f>-Drivers!$C$50</f>
        <v>-250000</v>
      </c>
      <c r="T13" s="47">
        <f>-Drivers!$C$50</f>
        <v>-250000</v>
      </c>
      <c r="U13" s="47">
        <f>-Drivers!$C$50</f>
        <v>-250000</v>
      </c>
      <c r="V13" s="47">
        <f>-Drivers!$C$50</f>
        <v>-250000</v>
      </c>
      <c r="W13" s="47">
        <f>-Drivers!$C$50</f>
        <v>-250000</v>
      </c>
      <c r="X13" s="47">
        <f>-Drivers!$C$50</f>
        <v>-250000</v>
      </c>
      <c r="Y13" s="47">
        <f>-Drivers!$C$50</f>
        <v>-250000</v>
      </c>
      <c r="Z13" s="47">
        <f>-Drivers!$C$50</f>
        <v>-250000</v>
      </c>
      <c r="AA13" s="48">
        <f>SUM(C13:Z13)</f>
        <v>-6000000</v>
      </c>
    </row>
    <row r="14" spans="2:27" ht="18" customHeight="1" x14ac:dyDescent="0.25">
      <c r="B14" s="52" t="s">
        <v>176</v>
      </c>
      <c r="C14" s="48">
        <f t="shared" ref="C14:Z14" si="1">SUM(C11:C13)</f>
        <v>-2727357.1428571427</v>
      </c>
      <c r="D14" s="48">
        <f t="shared" si="1"/>
        <v>-2083631.6836734693</v>
      </c>
      <c r="E14" s="48">
        <f t="shared" si="1"/>
        <v>-1887658.4557944606</v>
      </c>
      <c r="F14" s="48">
        <f t="shared" si="1"/>
        <v>-1752296.9476808882</v>
      </c>
      <c r="G14" s="48">
        <f t="shared" si="1"/>
        <v>-1658800.8202910135</v>
      </c>
      <c r="H14" s="48">
        <f t="shared" si="1"/>
        <v>-1594221.7094438644</v>
      </c>
      <c r="I14" s="48">
        <f t="shared" si="1"/>
        <v>-1549615.9950230122</v>
      </c>
      <c r="J14" s="48">
        <f t="shared" si="1"/>
        <v>-1518806.1908480374</v>
      </c>
      <c r="K14" s="48">
        <f t="shared" si="1"/>
        <v>-1497525.4189643231</v>
      </c>
      <c r="L14" s="48">
        <f t="shared" si="1"/>
        <v>-1482826.4858132144</v>
      </c>
      <c r="M14" s="48">
        <f t="shared" si="1"/>
        <v>-1472673.7227009847</v>
      </c>
      <c r="N14" s="48">
        <f t="shared" si="1"/>
        <v>-1465661.0641798945</v>
      </c>
      <c r="O14" s="48">
        <f t="shared" si="1"/>
        <v>-1460817.3207585411</v>
      </c>
      <c r="P14" s="48">
        <f t="shared" si="1"/>
        <v>-1457471.6779810779</v>
      </c>
      <c r="Q14" s="48">
        <f t="shared" si="1"/>
        <v>-1455160.7947197873</v>
      </c>
      <c r="R14" s="48">
        <f t="shared" si="1"/>
        <v>-1453564.6346385959</v>
      </c>
      <c r="S14" s="48">
        <f t="shared" si="1"/>
        <v>-1452462.1440682302</v>
      </c>
      <c r="T14" s="48">
        <f t="shared" si="1"/>
        <v>-1451700.6380814132</v>
      </c>
      <c r="U14" s="48">
        <f t="shared" si="1"/>
        <v>-1451174.6550176619</v>
      </c>
      <c r="V14" s="48">
        <f t="shared" si="1"/>
        <v>-1450811.351001485</v>
      </c>
      <c r="W14" s="48">
        <f t="shared" si="1"/>
        <v>-1450560.4117274543</v>
      </c>
      <c r="X14" s="48">
        <f t="shared" si="1"/>
        <v>-1450387.0843860344</v>
      </c>
      <c r="Y14" s="48">
        <f t="shared" si="1"/>
        <v>-1450267.3647152109</v>
      </c>
      <c r="Z14" s="48">
        <f t="shared" si="1"/>
        <v>-1450184.6726282921</v>
      </c>
      <c r="AA14" s="48">
        <f>SUM(C14:Z14)</f>
        <v>-38125638.386994086</v>
      </c>
    </row>
    <row r="16" spans="2:27" ht="18" customHeight="1" x14ac:dyDescent="0.25">
      <c r="B16" s="52" t="s">
        <v>177</v>
      </c>
      <c r="C16" s="48">
        <f t="shared" ref="C16:Z16" si="2">C8+C14</f>
        <v>1401571.4285714286</v>
      </c>
      <c r="D16" s="48">
        <f t="shared" si="2"/>
        <v>972421.12244897988</v>
      </c>
      <c r="E16" s="48">
        <f t="shared" si="2"/>
        <v>841772.30386297358</v>
      </c>
      <c r="F16" s="48">
        <f t="shared" si="2"/>
        <v>751531.29845392564</v>
      </c>
      <c r="G16" s="48">
        <f t="shared" si="2"/>
        <v>689200.54686067579</v>
      </c>
      <c r="H16" s="48">
        <f t="shared" si="2"/>
        <v>646147.80629590945</v>
      </c>
      <c r="I16" s="48">
        <f t="shared" si="2"/>
        <v>616410.66334867477</v>
      </c>
      <c r="J16" s="48">
        <f t="shared" si="2"/>
        <v>595870.79389869166</v>
      </c>
      <c r="K16" s="48">
        <f t="shared" si="2"/>
        <v>581683.61264288193</v>
      </c>
      <c r="L16" s="48">
        <f t="shared" si="2"/>
        <v>571884.32387547661</v>
      </c>
      <c r="M16" s="48">
        <f t="shared" si="2"/>
        <v>565115.81513398979</v>
      </c>
      <c r="N16" s="48">
        <f t="shared" si="2"/>
        <v>560440.70945326285</v>
      </c>
      <c r="O16" s="48">
        <f t="shared" si="2"/>
        <v>557211.54717236105</v>
      </c>
      <c r="P16" s="48">
        <f t="shared" si="2"/>
        <v>554981.11865405203</v>
      </c>
      <c r="Q16" s="48">
        <f t="shared" si="2"/>
        <v>553440.52981319185</v>
      </c>
      <c r="R16" s="48">
        <f t="shared" si="2"/>
        <v>552376.4230923974</v>
      </c>
      <c r="S16" s="48">
        <f t="shared" si="2"/>
        <v>551641.42937882012</v>
      </c>
      <c r="T16" s="48">
        <f t="shared" si="2"/>
        <v>551133.75872094231</v>
      </c>
      <c r="U16" s="48">
        <f t="shared" si="2"/>
        <v>550783.10334510799</v>
      </c>
      <c r="V16" s="48">
        <f t="shared" si="2"/>
        <v>550540.90066765668</v>
      </c>
      <c r="W16" s="48">
        <f t="shared" si="2"/>
        <v>550373.60781830293</v>
      </c>
      <c r="X16" s="48">
        <f t="shared" si="2"/>
        <v>550258.05625735642</v>
      </c>
      <c r="Y16" s="48">
        <f t="shared" si="2"/>
        <v>550178.24314347398</v>
      </c>
      <c r="Z16" s="48">
        <f t="shared" si="2"/>
        <v>550123.11508552823</v>
      </c>
      <c r="AA16" s="48">
        <f>SUM(C16:Z16)</f>
        <v>15417092.257996056</v>
      </c>
    </row>
    <row r="17" spans="2:27" ht="18" customHeight="1" x14ac:dyDescent="0.25">
      <c r="B17" s="6" t="s">
        <v>178</v>
      </c>
      <c r="C17" s="57">
        <f t="shared" ref="C17:Z17" si="3">IFERROR(C16/C8,0)</f>
        <v>0.33945160453247991</v>
      </c>
      <c r="D17" s="57">
        <f t="shared" si="3"/>
        <v>0.31819513082393286</v>
      </c>
      <c r="E17" s="57">
        <f t="shared" si="3"/>
        <v>0.30840580985048432</v>
      </c>
      <c r="F17" s="57">
        <f t="shared" si="3"/>
        <v>0.30015289571641846</v>
      </c>
      <c r="G17" s="57">
        <f t="shared" si="3"/>
        <v>0.29352646744696337</v>
      </c>
      <c r="H17" s="57">
        <f t="shared" si="3"/>
        <v>0.28841126508657672</v>
      </c>
      <c r="I17" s="57">
        <f t="shared" si="3"/>
        <v>0.28458129126262105</v>
      </c>
      <c r="J17" s="57">
        <f t="shared" si="3"/>
        <v>0.28177863484434623</v>
      </c>
      <c r="K17" s="57">
        <f t="shared" si="3"/>
        <v>0.27976196899897415</v>
      </c>
      <c r="L17" s="57">
        <f t="shared" si="3"/>
        <v>0.27832837651840781</v>
      </c>
      <c r="M17" s="57">
        <f t="shared" si="3"/>
        <v>0.27731804714945707</v>
      </c>
      <c r="N17" s="57">
        <f t="shared" si="3"/>
        <v>0.27661034442919119</v>
      </c>
      <c r="O17" s="57">
        <f t="shared" si="3"/>
        <v>0.27611673748932719</v>
      </c>
      <c r="P17" s="57">
        <f t="shared" si="3"/>
        <v>0.27577348377164124</v>
      </c>
      <c r="Q17" s="57">
        <f t="shared" si="3"/>
        <v>0.27553528072170946</v>
      </c>
      <c r="R17" s="57">
        <f t="shared" si="3"/>
        <v>0.27537021636977421</v>
      </c>
      <c r="S17" s="57">
        <f t="shared" si="3"/>
        <v>0.27525594818934385</v>
      </c>
      <c r="T17" s="57">
        <f t="shared" si="3"/>
        <v>0.27517689909902698</v>
      </c>
      <c r="U17" s="57">
        <f t="shared" si="3"/>
        <v>0.27512224023924781</v>
      </c>
      <c r="V17" s="57">
        <f t="shared" si="3"/>
        <v>0.27508445862466324</v>
      </c>
      <c r="W17" s="57">
        <f t="shared" si="3"/>
        <v>0.27505834897206966</v>
      </c>
      <c r="X17" s="57">
        <f t="shared" si="3"/>
        <v>0.27504030828795456</v>
      </c>
      <c r="Y17" s="57">
        <f t="shared" si="3"/>
        <v>0.27502784428735122</v>
      </c>
      <c r="Z17" s="57">
        <f t="shared" si="3"/>
        <v>0.27501923377215443</v>
      </c>
      <c r="AA17" s="58">
        <f>SUM(C17:Z17)</f>
        <v>6.8301028364841159</v>
      </c>
    </row>
    <row r="19" spans="2:27" ht="19.5" customHeight="1" x14ac:dyDescent="0.25">
      <c r="B19" s="89" t="s">
        <v>179</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row>
    <row r="20" spans="2:27" ht="18" customHeight="1" x14ac:dyDescent="0.25">
      <c r="B20" s="12" t="s">
        <v>180</v>
      </c>
      <c r="C20" s="46">
        <f>-Drivers!$C$57</f>
        <v>-380000</v>
      </c>
      <c r="D20" s="46">
        <f>-Drivers!$C$57</f>
        <v>-380000</v>
      </c>
      <c r="E20" s="46">
        <f>-Drivers!$C$57</f>
        <v>-380000</v>
      </c>
      <c r="F20" s="46">
        <f>-Drivers!$C$57</f>
        <v>-380000</v>
      </c>
      <c r="G20" s="46">
        <f>-Drivers!$C$57</f>
        <v>-380000</v>
      </c>
      <c r="H20" s="46">
        <f>-Drivers!$C$57</f>
        <v>-380000</v>
      </c>
      <c r="I20" s="46">
        <f>-Drivers!$C$57</f>
        <v>-380000</v>
      </c>
      <c r="J20" s="46">
        <f>-Drivers!$C$57</f>
        <v>-380000</v>
      </c>
      <c r="K20" s="46">
        <f>-Drivers!$C$57</f>
        <v>-380000</v>
      </c>
      <c r="L20" s="46">
        <f>-Drivers!$C$57</f>
        <v>-380000</v>
      </c>
      <c r="M20" s="46">
        <f>-Drivers!$C$57</f>
        <v>-380000</v>
      </c>
      <c r="N20" s="46">
        <f>-Drivers!$C$57</f>
        <v>-380000</v>
      </c>
      <c r="O20" s="46">
        <f>-Drivers!$C$57</f>
        <v>-380000</v>
      </c>
      <c r="P20" s="46">
        <f>-Drivers!$C$57</f>
        <v>-380000</v>
      </c>
      <c r="Q20" s="46">
        <f>-Drivers!$C$57</f>
        <v>-380000</v>
      </c>
      <c r="R20" s="46">
        <f>-Drivers!$C$57</f>
        <v>-380000</v>
      </c>
      <c r="S20" s="46">
        <f>-Drivers!$C$57</f>
        <v>-380000</v>
      </c>
      <c r="T20" s="46">
        <f>-Drivers!$C$57</f>
        <v>-380000</v>
      </c>
      <c r="U20" s="46">
        <f>-Drivers!$C$57</f>
        <v>-380000</v>
      </c>
      <c r="V20" s="46">
        <f>-Drivers!$C$57</f>
        <v>-380000</v>
      </c>
      <c r="W20" s="46">
        <f>-Drivers!$C$57</f>
        <v>-380000</v>
      </c>
      <c r="X20" s="46">
        <f>-Drivers!$C$57</f>
        <v>-380000</v>
      </c>
      <c r="Y20" s="46">
        <f>-Drivers!$C$57</f>
        <v>-380000</v>
      </c>
      <c r="Z20" s="46">
        <f>-Drivers!$C$57</f>
        <v>-380000</v>
      </c>
      <c r="AA20" s="48">
        <f>SUM(C20:Z20)</f>
        <v>-9120000</v>
      </c>
    </row>
    <row r="21" spans="2:27" ht="18" customHeight="1" x14ac:dyDescent="0.25">
      <c r="B21" s="52" t="s">
        <v>181</v>
      </c>
      <c r="C21" s="48">
        <f t="shared" ref="C21:Z21" si="4">C20</f>
        <v>-380000</v>
      </c>
      <c r="D21" s="48">
        <f t="shared" si="4"/>
        <v>-380000</v>
      </c>
      <c r="E21" s="48">
        <f t="shared" si="4"/>
        <v>-380000</v>
      </c>
      <c r="F21" s="48">
        <f t="shared" si="4"/>
        <v>-380000</v>
      </c>
      <c r="G21" s="48">
        <f t="shared" si="4"/>
        <v>-380000</v>
      </c>
      <c r="H21" s="48">
        <f t="shared" si="4"/>
        <v>-380000</v>
      </c>
      <c r="I21" s="48">
        <f t="shared" si="4"/>
        <v>-380000</v>
      </c>
      <c r="J21" s="48">
        <f t="shared" si="4"/>
        <v>-380000</v>
      </c>
      <c r="K21" s="48">
        <f t="shared" si="4"/>
        <v>-380000</v>
      </c>
      <c r="L21" s="48">
        <f t="shared" si="4"/>
        <v>-380000</v>
      </c>
      <c r="M21" s="48">
        <f t="shared" si="4"/>
        <v>-380000</v>
      </c>
      <c r="N21" s="48">
        <f t="shared" si="4"/>
        <v>-380000</v>
      </c>
      <c r="O21" s="48">
        <f t="shared" si="4"/>
        <v>-380000</v>
      </c>
      <c r="P21" s="48">
        <f t="shared" si="4"/>
        <v>-380000</v>
      </c>
      <c r="Q21" s="48">
        <f t="shared" si="4"/>
        <v>-380000</v>
      </c>
      <c r="R21" s="48">
        <f t="shared" si="4"/>
        <v>-380000</v>
      </c>
      <c r="S21" s="48">
        <f t="shared" si="4"/>
        <v>-380000</v>
      </c>
      <c r="T21" s="48">
        <f t="shared" si="4"/>
        <v>-380000</v>
      </c>
      <c r="U21" s="48">
        <f t="shared" si="4"/>
        <v>-380000</v>
      </c>
      <c r="V21" s="48">
        <f t="shared" si="4"/>
        <v>-380000</v>
      </c>
      <c r="W21" s="48">
        <f t="shared" si="4"/>
        <v>-380000</v>
      </c>
      <c r="X21" s="48">
        <f t="shared" si="4"/>
        <v>-380000</v>
      </c>
      <c r="Y21" s="48">
        <f t="shared" si="4"/>
        <v>-380000</v>
      </c>
      <c r="Z21" s="48">
        <f t="shared" si="4"/>
        <v>-380000</v>
      </c>
      <c r="AA21" s="48">
        <f>SUM(C21:Z21)</f>
        <v>-9120000</v>
      </c>
    </row>
    <row r="23" spans="2:27" ht="18" customHeight="1" x14ac:dyDescent="0.25">
      <c r="B23" s="52" t="s">
        <v>182</v>
      </c>
      <c r="C23" s="48">
        <f t="shared" ref="C23:Z23" si="5">C16+C21</f>
        <v>1021571.4285714286</v>
      </c>
      <c r="D23" s="48">
        <f t="shared" si="5"/>
        <v>592421.12244897988</v>
      </c>
      <c r="E23" s="48">
        <f t="shared" si="5"/>
        <v>461772.30386297358</v>
      </c>
      <c r="F23" s="48">
        <f t="shared" si="5"/>
        <v>371531.29845392564</v>
      </c>
      <c r="G23" s="48">
        <f t="shared" si="5"/>
        <v>309200.54686067579</v>
      </c>
      <c r="H23" s="48">
        <f t="shared" si="5"/>
        <v>266147.80629590945</v>
      </c>
      <c r="I23" s="48">
        <f t="shared" si="5"/>
        <v>236410.66334867477</v>
      </c>
      <c r="J23" s="48">
        <f t="shared" si="5"/>
        <v>215870.79389869166</v>
      </c>
      <c r="K23" s="48">
        <f t="shared" si="5"/>
        <v>201683.61264288193</v>
      </c>
      <c r="L23" s="48">
        <f t="shared" si="5"/>
        <v>191884.32387547661</v>
      </c>
      <c r="M23" s="48">
        <f t="shared" si="5"/>
        <v>185115.81513398979</v>
      </c>
      <c r="N23" s="48">
        <f t="shared" si="5"/>
        <v>180440.70945326285</v>
      </c>
      <c r="O23" s="48">
        <f t="shared" si="5"/>
        <v>177211.54717236105</v>
      </c>
      <c r="P23" s="48">
        <f t="shared" si="5"/>
        <v>174981.11865405203</v>
      </c>
      <c r="Q23" s="48">
        <f t="shared" si="5"/>
        <v>173440.52981319185</v>
      </c>
      <c r="R23" s="48">
        <f t="shared" si="5"/>
        <v>172376.4230923974</v>
      </c>
      <c r="S23" s="48">
        <f t="shared" si="5"/>
        <v>171641.42937882012</v>
      </c>
      <c r="T23" s="48">
        <f t="shared" si="5"/>
        <v>171133.75872094231</v>
      </c>
      <c r="U23" s="48">
        <f t="shared" si="5"/>
        <v>170783.10334510799</v>
      </c>
      <c r="V23" s="48">
        <f t="shared" si="5"/>
        <v>170540.90066765668</v>
      </c>
      <c r="W23" s="48">
        <f t="shared" si="5"/>
        <v>170373.60781830293</v>
      </c>
      <c r="X23" s="48">
        <f t="shared" si="5"/>
        <v>170258.05625735642</v>
      </c>
      <c r="Y23" s="48">
        <f t="shared" si="5"/>
        <v>170178.24314347398</v>
      </c>
      <c r="Z23" s="48">
        <f t="shared" si="5"/>
        <v>170123.11508552823</v>
      </c>
      <c r="AA23" s="48">
        <f>SUM(C23:Z23)</f>
        <v>6297092.2579960618</v>
      </c>
    </row>
    <row r="24" spans="2:27" ht="18" customHeight="1" x14ac:dyDescent="0.25">
      <c r="B24" s="12" t="s">
        <v>183</v>
      </c>
      <c r="C24" s="59">
        <f t="shared" ref="C24:Z24" si="6">IFERROR(C23/C8,0)</f>
        <v>0.24741804342184934</v>
      </c>
      <c r="D24" s="59">
        <f t="shared" si="6"/>
        <v>0.19385172967631073</v>
      </c>
      <c r="E24" s="59">
        <f t="shared" si="6"/>
        <v>0.16918264082322051</v>
      </c>
      <c r="F24" s="59">
        <f t="shared" si="6"/>
        <v>0.14838529720537438</v>
      </c>
      <c r="G24" s="59">
        <f t="shared" si="6"/>
        <v>0.13168669796634763</v>
      </c>
      <c r="H24" s="59">
        <f t="shared" si="6"/>
        <v>0.11879638801817342</v>
      </c>
      <c r="I24" s="59">
        <f t="shared" si="6"/>
        <v>0.10914485398180498</v>
      </c>
      <c r="J24" s="59">
        <f t="shared" si="6"/>
        <v>0.10208215980775244</v>
      </c>
      <c r="K24" s="59">
        <f t="shared" si="6"/>
        <v>9.7000161877414878E-2</v>
      </c>
      <c r="L24" s="59">
        <f t="shared" si="6"/>
        <v>9.3387508826387577E-2</v>
      </c>
      <c r="M24" s="59">
        <f t="shared" si="6"/>
        <v>9.0841478816631821E-2</v>
      </c>
      <c r="N24" s="59">
        <f t="shared" si="6"/>
        <v>8.9058067961561904E-2</v>
      </c>
      <c r="O24" s="59">
        <f t="shared" si="6"/>
        <v>8.7814178473104396E-2</v>
      </c>
      <c r="P24" s="59">
        <f t="shared" si="6"/>
        <v>8.6949179104535881E-2</v>
      </c>
      <c r="Q24" s="59">
        <f t="shared" si="6"/>
        <v>8.6348907418707682E-2</v>
      </c>
      <c r="R24" s="59">
        <f t="shared" si="6"/>
        <v>8.5932945251830997E-2</v>
      </c>
      <c r="S24" s="59">
        <f t="shared" si="6"/>
        <v>8.5644989437146476E-2</v>
      </c>
      <c r="T24" s="59">
        <f t="shared" si="6"/>
        <v>8.5445785729547863E-2</v>
      </c>
      <c r="U24" s="59">
        <f t="shared" si="6"/>
        <v>8.5308045402904445E-2</v>
      </c>
      <c r="V24" s="59">
        <f t="shared" si="6"/>
        <v>8.5212835734151435E-2</v>
      </c>
      <c r="W24" s="59">
        <f t="shared" si="6"/>
        <v>8.5147039409615502E-2</v>
      </c>
      <c r="X24" s="59">
        <f t="shared" si="6"/>
        <v>8.5101576885645416E-2</v>
      </c>
      <c r="Y24" s="59">
        <f t="shared" si="6"/>
        <v>8.5070167604124974E-2</v>
      </c>
      <c r="Z24" s="59">
        <f t="shared" si="6"/>
        <v>8.5048469105829111E-2</v>
      </c>
      <c r="AA24" s="58">
        <f>SUM(C24:Z24)</f>
        <v>2.619859147939974</v>
      </c>
    </row>
    <row r="26" spans="2:27" ht="19.5" customHeight="1" x14ac:dyDescent="0.25">
      <c r="B26" s="89" t="s">
        <v>184</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row>
    <row r="27" spans="2:27" ht="18" customHeight="1" x14ac:dyDescent="0.25">
      <c r="B27" s="6" t="s">
        <v>185</v>
      </c>
      <c r="C27" s="47">
        <f>-Drivers!$C$58</f>
        <v>-35000</v>
      </c>
      <c r="D27" s="47">
        <f>-Drivers!$C$58</f>
        <v>-35000</v>
      </c>
      <c r="E27" s="47">
        <f>-Drivers!$C$58</f>
        <v>-35000</v>
      </c>
      <c r="F27" s="47">
        <f>-Drivers!$C$58</f>
        <v>-35000</v>
      </c>
      <c r="G27" s="47">
        <f>-Drivers!$C$58</f>
        <v>-35000</v>
      </c>
      <c r="H27" s="47">
        <f>-Drivers!$C$58</f>
        <v>-35000</v>
      </c>
      <c r="I27" s="47">
        <f>-Drivers!$C$58</f>
        <v>-35000</v>
      </c>
      <c r="J27" s="47">
        <f>-Drivers!$C$58</f>
        <v>-35000</v>
      </c>
      <c r="K27" s="47">
        <f>-Drivers!$C$58</f>
        <v>-35000</v>
      </c>
      <c r="L27" s="47">
        <f>-Drivers!$C$58</f>
        <v>-35000</v>
      </c>
      <c r="M27" s="47">
        <f>-Drivers!$C$58</f>
        <v>-35000</v>
      </c>
      <c r="N27" s="47">
        <f>-Drivers!$C$58</f>
        <v>-35000</v>
      </c>
      <c r="O27" s="47">
        <f>-Drivers!$C$58</f>
        <v>-35000</v>
      </c>
      <c r="P27" s="47">
        <f>-Drivers!$C$58</f>
        <v>-35000</v>
      </c>
      <c r="Q27" s="47">
        <f>-Drivers!$C$58</f>
        <v>-35000</v>
      </c>
      <c r="R27" s="47">
        <f>-Drivers!$C$58</f>
        <v>-35000</v>
      </c>
      <c r="S27" s="47">
        <f>-Drivers!$C$58</f>
        <v>-35000</v>
      </c>
      <c r="T27" s="47">
        <f>-Drivers!$C$58</f>
        <v>-35000</v>
      </c>
      <c r="U27" s="47">
        <f>-Drivers!$C$58</f>
        <v>-35000</v>
      </c>
      <c r="V27" s="47">
        <f>-Drivers!$C$58</f>
        <v>-35000</v>
      </c>
      <c r="W27" s="47">
        <f>-Drivers!$C$58</f>
        <v>-35000</v>
      </c>
      <c r="X27" s="47">
        <f>-Drivers!$C$58</f>
        <v>-35000</v>
      </c>
      <c r="Y27" s="47">
        <f>-Drivers!$C$58</f>
        <v>-35000</v>
      </c>
      <c r="Z27" s="47">
        <f>-Drivers!$C$58</f>
        <v>-35000</v>
      </c>
      <c r="AA27" s="48">
        <f>SUM(C27:Z27)</f>
        <v>-840000</v>
      </c>
    </row>
    <row r="28" spans="2:27" ht="18" customHeight="1" x14ac:dyDescent="0.25">
      <c r="B28" s="52" t="s">
        <v>186</v>
      </c>
      <c r="C28" s="48">
        <f t="shared" ref="C28:Z28" si="7">C23+C27</f>
        <v>986571.42857142864</v>
      </c>
      <c r="D28" s="48">
        <f t="shared" si="7"/>
        <v>557421.12244897988</v>
      </c>
      <c r="E28" s="48">
        <f t="shared" si="7"/>
        <v>426772.30386297358</v>
      </c>
      <c r="F28" s="48">
        <f t="shared" si="7"/>
        <v>336531.29845392564</v>
      </c>
      <c r="G28" s="48">
        <f t="shared" si="7"/>
        <v>274200.54686067579</v>
      </c>
      <c r="H28" s="48">
        <f t="shared" si="7"/>
        <v>231147.80629590945</v>
      </c>
      <c r="I28" s="48">
        <f t="shared" si="7"/>
        <v>201410.66334867477</v>
      </c>
      <c r="J28" s="48">
        <f t="shared" si="7"/>
        <v>180870.79389869166</v>
      </c>
      <c r="K28" s="48">
        <f t="shared" si="7"/>
        <v>166683.61264288193</v>
      </c>
      <c r="L28" s="48">
        <f t="shared" si="7"/>
        <v>156884.32387547661</v>
      </c>
      <c r="M28" s="48">
        <f t="shared" si="7"/>
        <v>150115.81513398979</v>
      </c>
      <c r="N28" s="48">
        <f t="shared" si="7"/>
        <v>145440.70945326285</v>
      </c>
      <c r="O28" s="48">
        <f t="shared" si="7"/>
        <v>142211.54717236105</v>
      </c>
      <c r="P28" s="48">
        <f t="shared" si="7"/>
        <v>139981.11865405203</v>
      </c>
      <c r="Q28" s="48">
        <f t="shared" si="7"/>
        <v>138440.52981319185</v>
      </c>
      <c r="R28" s="48">
        <f t="shared" si="7"/>
        <v>137376.4230923974</v>
      </c>
      <c r="S28" s="48">
        <f t="shared" si="7"/>
        <v>136641.42937882012</v>
      </c>
      <c r="T28" s="48">
        <f t="shared" si="7"/>
        <v>136133.75872094231</v>
      </c>
      <c r="U28" s="48">
        <f t="shared" si="7"/>
        <v>135783.10334510799</v>
      </c>
      <c r="V28" s="48">
        <f t="shared" si="7"/>
        <v>135540.90066765668</v>
      </c>
      <c r="W28" s="48">
        <f t="shared" si="7"/>
        <v>135373.60781830293</v>
      </c>
      <c r="X28" s="48">
        <f t="shared" si="7"/>
        <v>135258.05625735642</v>
      </c>
      <c r="Y28" s="48">
        <f t="shared" si="7"/>
        <v>135178.24314347398</v>
      </c>
      <c r="Z28" s="48">
        <f t="shared" si="7"/>
        <v>135123.11508552823</v>
      </c>
      <c r="AA28" s="48">
        <f>SUM(C28:Z28)</f>
        <v>5457092.2579960618</v>
      </c>
    </row>
    <row r="29" spans="2:27" ht="18" customHeight="1" x14ac:dyDescent="0.25">
      <c r="B29" s="6" t="s">
        <v>187</v>
      </c>
      <c r="C29" s="47">
        <f>-MAX(0,C28*Drivers!$C$59)</f>
        <v>-261441.42857142861</v>
      </c>
      <c r="D29" s="47">
        <f>-MAX(0,D28*Drivers!$C$59)</f>
        <v>-147716.59744897968</v>
      </c>
      <c r="E29" s="47">
        <f>-MAX(0,E28*Drivers!$C$59)</f>
        <v>-113094.660523688</v>
      </c>
      <c r="F29" s="47">
        <f>-MAX(0,F28*Drivers!$C$59)</f>
        <v>-89180.794090290306</v>
      </c>
      <c r="G29" s="47">
        <f>-MAX(0,G28*Drivers!$C$59)</f>
        <v>-72663.144918079095</v>
      </c>
      <c r="H29" s="47">
        <f>-MAX(0,H28*Drivers!$C$59)</f>
        <v>-61254.168668416009</v>
      </c>
      <c r="I29" s="47">
        <f>-MAX(0,I28*Drivers!$C$59)</f>
        <v>-53373.825787398819</v>
      </c>
      <c r="J29" s="47">
        <f>-MAX(0,J28*Drivers!$C$59)</f>
        <v>-47930.760383153291</v>
      </c>
      <c r="K29" s="47">
        <f>-MAX(0,K28*Drivers!$C$59)</f>
        <v>-44171.157350363712</v>
      </c>
      <c r="L29" s="47">
        <f>-MAX(0,L28*Drivers!$C$59)</f>
        <v>-41574.3458270013</v>
      </c>
      <c r="M29" s="47">
        <f>-MAX(0,M28*Drivers!$C$59)</f>
        <v>-39780.691010507297</v>
      </c>
      <c r="N29" s="47">
        <f>-MAX(0,N28*Drivers!$C$59)</f>
        <v>-38541.788005114657</v>
      </c>
      <c r="O29" s="47">
        <f>-MAX(0,O28*Drivers!$C$59)</f>
        <v>-37686.060000675679</v>
      </c>
      <c r="P29" s="47">
        <f>-MAX(0,P28*Drivers!$C$59)</f>
        <v>-37094.996443323791</v>
      </c>
      <c r="Q29" s="47">
        <f>-MAX(0,Q28*Drivers!$C$59)</f>
        <v>-36686.740400495844</v>
      </c>
      <c r="R29" s="47">
        <f>-MAX(0,R28*Drivers!$C$59)</f>
        <v>-36404.752119485311</v>
      </c>
      <c r="S29" s="47">
        <f>-MAX(0,S28*Drivers!$C$59)</f>
        <v>-36209.978785387335</v>
      </c>
      <c r="T29" s="47">
        <f>-MAX(0,T28*Drivers!$C$59)</f>
        <v>-36075.446061049712</v>
      </c>
      <c r="U29" s="47">
        <f>-MAX(0,U28*Drivers!$C$59)</f>
        <v>-35982.522386453616</v>
      </c>
      <c r="V29" s="47">
        <f>-MAX(0,V28*Drivers!$C$59)</f>
        <v>-35918.338676929023</v>
      </c>
      <c r="W29" s="47">
        <f>-MAX(0,W28*Drivers!$C$59)</f>
        <v>-35874.006071850279</v>
      </c>
      <c r="X29" s="47">
        <f>-MAX(0,X28*Drivers!$C$59)</f>
        <v>-35843.384908199456</v>
      </c>
      <c r="Y29" s="47">
        <f>-MAX(0,Y28*Drivers!$C$59)</f>
        <v>-35822.234433020611</v>
      </c>
      <c r="Z29" s="47">
        <f>-MAX(0,Z28*Drivers!$C$59)</f>
        <v>-35807.62549766498</v>
      </c>
      <c r="AA29" s="48">
        <f>SUM(C29:Z29)</f>
        <v>-1446129.4483689566</v>
      </c>
    </row>
    <row r="30" spans="2:27" ht="18" customHeight="1" x14ac:dyDescent="0.25">
      <c r="B30" s="52" t="s">
        <v>188</v>
      </c>
      <c r="C30" s="48">
        <f t="shared" ref="C30:Z30" si="8">C28+C29</f>
        <v>725130</v>
      </c>
      <c r="D30" s="48">
        <f t="shared" si="8"/>
        <v>409704.5250000002</v>
      </c>
      <c r="E30" s="48">
        <f t="shared" si="8"/>
        <v>313677.64333928557</v>
      </c>
      <c r="F30" s="48">
        <f t="shared" si="8"/>
        <v>247350.50436363532</v>
      </c>
      <c r="G30" s="48">
        <f t="shared" si="8"/>
        <v>201537.40194259671</v>
      </c>
      <c r="H30" s="48">
        <f t="shared" si="8"/>
        <v>169893.63762749344</v>
      </c>
      <c r="I30" s="48">
        <f t="shared" si="8"/>
        <v>148036.83756127596</v>
      </c>
      <c r="J30" s="48">
        <f t="shared" si="8"/>
        <v>132940.03351553838</v>
      </c>
      <c r="K30" s="48">
        <f t="shared" si="8"/>
        <v>122512.45529251822</v>
      </c>
      <c r="L30" s="48">
        <f t="shared" si="8"/>
        <v>115309.97804847531</v>
      </c>
      <c r="M30" s="48">
        <f t="shared" si="8"/>
        <v>110335.1241234825</v>
      </c>
      <c r="N30" s="48">
        <f t="shared" si="8"/>
        <v>106898.9214481482</v>
      </c>
      <c r="O30" s="48">
        <f t="shared" si="8"/>
        <v>104525.48717168538</v>
      </c>
      <c r="P30" s="48">
        <f t="shared" si="8"/>
        <v>102886.12221072824</v>
      </c>
      <c r="Q30" s="48">
        <f t="shared" si="8"/>
        <v>101753.789412696</v>
      </c>
      <c r="R30" s="48">
        <f t="shared" si="8"/>
        <v>100971.67097291208</v>
      </c>
      <c r="S30" s="48">
        <f t="shared" si="8"/>
        <v>100431.45059343279</v>
      </c>
      <c r="T30" s="48">
        <f t="shared" si="8"/>
        <v>100058.3126598926</v>
      </c>
      <c r="U30" s="48">
        <f t="shared" si="8"/>
        <v>99800.580958654376</v>
      </c>
      <c r="V30" s="48">
        <f t="shared" si="8"/>
        <v>99622.561990727656</v>
      </c>
      <c r="W30" s="48">
        <f t="shared" si="8"/>
        <v>99499.601746452652</v>
      </c>
      <c r="X30" s="48">
        <f t="shared" si="8"/>
        <v>99414.671349156968</v>
      </c>
      <c r="Y30" s="48">
        <f t="shared" si="8"/>
        <v>99356.008710453374</v>
      </c>
      <c r="Z30" s="48">
        <f t="shared" si="8"/>
        <v>99315.489587863252</v>
      </c>
      <c r="AA30" s="48">
        <f>SUM(C30:Z30)</f>
        <v>4010962.8096271055</v>
      </c>
    </row>
    <row r="31" spans="2:27" ht="18" customHeight="1" x14ac:dyDescent="0.25">
      <c r="B31" s="6" t="s">
        <v>189</v>
      </c>
      <c r="C31" s="57">
        <f t="shared" ref="C31:Z31" si="9">IFERROR(C30/C8,0)</f>
        <v>0.17562183202145143</v>
      </c>
      <c r="D31" s="57">
        <f t="shared" si="9"/>
        <v>0.13406330027387106</v>
      </c>
      <c r="E31" s="57">
        <f t="shared" si="9"/>
        <v>0.11492419883868191</v>
      </c>
      <c r="F31" s="57">
        <f t="shared" si="9"/>
        <v>9.878892641516962E-2</v>
      </c>
      <c r="G31" s="57">
        <f t="shared" si="9"/>
        <v>8.5833596505558024E-2</v>
      </c>
      <c r="H31" s="57">
        <f t="shared" si="9"/>
        <v>7.5832864370766209E-2</v>
      </c>
      <c r="I31" s="57">
        <f t="shared" si="9"/>
        <v>6.8344882547550376E-2</v>
      </c>
      <c r="J31" s="57">
        <f t="shared" si="9"/>
        <v>6.2865408984181276E-2</v>
      </c>
      <c r="K31" s="57">
        <f t="shared" si="9"/>
        <v>5.8922625589894383E-2</v>
      </c>
      <c r="L31" s="57">
        <f t="shared" si="9"/>
        <v>5.6119808931139034E-2</v>
      </c>
      <c r="M31" s="57">
        <f t="shared" si="9"/>
        <v>5.4144513981903529E-2</v>
      </c>
      <c r="N31" s="57">
        <f t="shared" si="9"/>
        <v>5.2760884393511787E-2</v>
      </c>
      <c r="O31" s="57">
        <f t="shared" si="9"/>
        <v>5.1795833465383488E-2</v>
      </c>
      <c r="P31" s="57">
        <f t="shared" si="9"/>
        <v>5.1124738121935749E-2</v>
      </c>
      <c r="Q31" s="57">
        <f t="shared" si="9"/>
        <v>5.0659027339014041E-2</v>
      </c>
      <c r="R31" s="57">
        <f t="shared" si="9"/>
        <v>5.0336310024545541E-2</v>
      </c>
      <c r="S31" s="57">
        <f t="shared" si="9"/>
        <v>5.011290430498614E-2</v>
      </c>
      <c r="T31" s="57">
        <f t="shared" si="9"/>
        <v>4.9958355428507552E-2</v>
      </c>
      <c r="U31" s="57">
        <f t="shared" si="9"/>
        <v>4.985149189175337E-2</v>
      </c>
      <c r="V31" s="57">
        <f t="shared" si="9"/>
        <v>4.9777625057079153E-2</v>
      </c>
      <c r="W31" s="57">
        <f t="shared" si="9"/>
        <v>4.9726578075293355E-2</v>
      </c>
      <c r="X31" s="57">
        <f t="shared" si="9"/>
        <v>4.9691306733779902E-2</v>
      </c>
      <c r="Y31" s="57">
        <f t="shared" si="9"/>
        <v>4.9666938366200293E-2</v>
      </c>
      <c r="Z31" s="57">
        <f t="shared" si="9"/>
        <v>4.9650103947939089E-2</v>
      </c>
      <c r="AA31" s="58">
        <f>SUM(C31:Z31)</f>
        <v>1.6405740556100961</v>
      </c>
    </row>
  </sheetData>
  <mergeCells count="6">
    <mergeCell ref="B26:AA26"/>
    <mergeCell ref="B1:AA1"/>
    <mergeCell ref="B2:AA2"/>
    <mergeCell ref="B5:AA5"/>
    <mergeCell ref="B10:AA10"/>
    <mergeCell ref="B19:AA1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A19"/>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7109375" defaultRowHeight="15" x14ac:dyDescent="0.25"/>
  <cols>
    <col min="1" max="1" width="3" customWidth="1"/>
    <col min="2" max="2" width="32" customWidth="1"/>
    <col min="3" max="27" width="11" customWidth="1"/>
  </cols>
  <sheetData>
    <row r="1" spans="2:27" ht="30" customHeight="1" x14ac:dyDescent="0.25">
      <c r="B1" s="90" t="s">
        <v>190</v>
      </c>
      <c r="C1" s="90"/>
      <c r="D1" s="90"/>
      <c r="E1" s="90"/>
      <c r="F1" s="90"/>
      <c r="G1" s="90"/>
      <c r="H1" s="90"/>
      <c r="I1" s="90"/>
      <c r="J1" s="90"/>
      <c r="K1" s="90"/>
      <c r="L1" s="90"/>
      <c r="M1" s="90"/>
      <c r="N1" s="90"/>
      <c r="O1" s="90"/>
      <c r="P1" s="90"/>
      <c r="Q1" s="90"/>
      <c r="R1" s="90"/>
      <c r="S1" s="90"/>
      <c r="T1" s="90"/>
      <c r="U1" s="90"/>
      <c r="V1" s="90"/>
      <c r="W1" s="90"/>
      <c r="X1" s="90"/>
      <c r="Y1" s="90"/>
      <c r="Z1" s="90"/>
      <c r="AA1" s="90"/>
    </row>
    <row r="2" spans="2:27" ht="15" customHeight="1" x14ac:dyDescent="0.25">
      <c r="B2" s="87" t="s">
        <v>191</v>
      </c>
      <c r="C2" s="87"/>
      <c r="D2" s="87"/>
      <c r="E2" s="87"/>
      <c r="F2" s="87"/>
      <c r="G2" s="87"/>
      <c r="H2" s="87"/>
      <c r="I2" s="87"/>
      <c r="J2" s="87"/>
      <c r="K2" s="87"/>
      <c r="L2" s="87"/>
      <c r="M2" s="87"/>
      <c r="N2" s="87"/>
      <c r="O2" s="87"/>
      <c r="P2" s="87"/>
      <c r="Q2" s="87"/>
      <c r="R2" s="87"/>
      <c r="S2" s="87"/>
      <c r="T2" s="87"/>
      <c r="U2" s="87"/>
      <c r="V2" s="87"/>
      <c r="W2" s="87"/>
      <c r="X2" s="87"/>
      <c r="Y2" s="87"/>
      <c r="Z2" s="87"/>
      <c r="AA2" s="87"/>
    </row>
    <row r="4" spans="2:27" ht="19.5" customHeight="1" x14ac:dyDescent="0.25">
      <c r="B4" s="43" t="s">
        <v>192</v>
      </c>
      <c r="C4" s="5" t="s">
        <v>130</v>
      </c>
      <c r="D4" s="5" t="s">
        <v>131</v>
      </c>
      <c r="E4" s="5" t="s">
        <v>132</v>
      </c>
      <c r="F4" s="5" t="s">
        <v>133</v>
      </c>
      <c r="G4" s="5" t="s">
        <v>134</v>
      </c>
      <c r="H4" s="5" t="s">
        <v>135</v>
      </c>
      <c r="I4" s="5" t="s">
        <v>136</v>
      </c>
      <c r="J4" s="5" t="s">
        <v>137</v>
      </c>
      <c r="K4" s="5" t="s">
        <v>138</v>
      </c>
      <c r="L4" s="5" t="s">
        <v>139</v>
      </c>
      <c r="M4" s="5" t="s">
        <v>140</v>
      </c>
      <c r="N4" s="5" t="s">
        <v>141</v>
      </c>
      <c r="O4" s="5" t="s">
        <v>142</v>
      </c>
      <c r="P4" s="5" t="s">
        <v>143</v>
      </c>
      <c r="Q4" s="5" t="s">
        <v>144</v>
      </c>
      <c r="R4" s="5" t="s">
        <v>145</v>
      </c>
      <c r="S4" s="5" t="s">
        <v>146</v>
      </c>
      <c r="T4" s="5" t="s">
        <v>147</v>
      </c>
      <c r="U4" s="5" t="s">
        <v>148</v>
      </c>
      <c r="V4" s="5" t="s">
        <v>149</v>
      </c>
      <c r="W4" s="5" t="s">
        <v>150</v>
      </c>
      <c r="X4" s="5" t="s">
        <v>151</v>
      </c>
      <c r="Y4" s="5" t="s">
        <v>152</v>
      </c>
      <c r="Z4" s="5" t="s">
        <v>153</v>
      </c>
      <c r="AA4" s="44" t="s">
        <v>154</v>
      </c>
    </row>
    <row r="5" spans="2:27" ht="19.5" customHeight="1" x14ac:dyDescent="0.25">
      <c r="B5" s="89" t="s">
        <v>193</v>
      </c>
      <c r="C5" s="89"/>
      <c r="D5" s="89"/>
      <c r="E5" s="89"/>
      <c r="F5" s="89"/>
      <c r="G5" s="89"/>
      <c r="H5" s="89"/>
      <c r="I5" s="89"/>
      <c r="J5" s="89"/>
      <c r="K5" s="89"/>
      <c r="L5" s="89"/>
      <c r="M5" s="89"/>
      <c r="N5" s="89"/>
      <c r="O5" s="89"/>
      <c r="P5" s="89"/>
      <c r="Q5" s="89"/>
      <c r="R5" s="89"/>
      <c r="S5" s="89"/>
      <c r="T5" s="89"/>
      <c r="U5" s="89"/>
      <c r="V5" s="89"/>
      <c r="W5" s="89"/>
      <c r="X5" s="89"/>
      <c r="Y5" s="89"/>
      <c r="Z5" s="89"/>
      <c r="AA5" s="89"/>
    </row>
    <row r="6" spans="2:27" ht="18" customHeight="1" x14ac:dyDescent="0.25">
      <c r="B6" s="12" t="s">
        <v>194</v>
      </c>
      <c r="C6" s="60">
        <f>'Forecast P&amp;L'!C30</f>
        <v>725130</v>
      </c>
      <c r="D6" s="60">
        <f>'Forecast P&amp;L'!D30</f>
        <v>409704.5250000002</v>
      </c>
      <c r="E6" s="60">
        <f>'Forecast P&amp;L'!E30</f>
        <v>313677.64333928557</v>
      </c>
      <c r="F6" s="60">
        <f>'Forecast P&amp;L'!F30</f>
        <v>247350.50436363532</v>
      </c>
      <c r="G6" s="60">
        <f>'Forecast P&amp;L'!G30</f>
        <v>201537.40194259671</v>
      </c>
      <c r="H6" s="60">
        <f>'Forecast P&amp;L'!H30</f>
        <v>169893.63762749344</v>
      </c>
      <c r="I6" s="60">
        <f>'Forecast P&amp;L'!I30</f>
        <v>148036.83756127596</v>
      </c>
      <c r="J6" s="60">
        <f>'Forecast P&amp;L'!J30</f>
        <v>132940.03351553838</v>
      </c>
      <c r="K6" s="60">
        <f>'Forecast P&amp;L'!K30</f>
        <v>122512.45529251822</v>
      </c>
      <c r="L6" s="60">
        <f>'Forecast P&amp;L'!L30</f>
        <v>115309.97804847531</v>
      </c>
      <c r="M6" s="60">
        <f>'Forecast P&amp;L'!M30</f>
        <v>110335.1241234825</v>
      </c>
      <c r="N6" s="60">
        <f>'Forecast P&amp;L'!N30</f>
        <v>106898.9214481482</v>
      </c>
      <c r="O6" s="60">
        <f>'Forecast P&amp;L'!O30</f>
        <v>104525.48717168538</v>
      </c>
      <c r="P6" s="60">
        <f>'Forecast P&amp;L'!P30</f>
        <v>102886.12221072824</v>
      </c>
      <c r="Q6" s="60">
        <f>'Forecast P&amp;L'!Q30</f>
        <v>101753.789412696</v>
      </c>
      <c r="R6" s="60">
        <f>'Forecast P&amp;L'!R30</f>
        <v>100971.67097291208</v>
      </c>
      <c r="S6" s="60">
        <f>'Forecast P&amp;L'!S30</f>
        <v>100431.45059343279</v>
      </c>
      <c r="T6" s="60">
        <f>'Forecast P&amp;L'!T30</f>
        <v>100058.3126598926</v>
      </c>
      <c r="U6" s="60">
        <f>'Forecast P&amp;L'!U30</f>
        <v>99800.580958654376</v>
      </c>
      <c r="V6" s="60">
        <f>'Forecast P&amp;L'!V30</f>
        <v>99622.561990727656</v>
      </c>
      <c r="W6" s="60">
        <f>'Forecast P&amp;L'!W30</f>
        <v>99499.601746452652</v>
      </c>
      <c r="X6" s="60">
        <f>'Forecast P&amp;L'!X30</f>
        <v>99414.671349156968</v>
      </c>
      <c r="Y6" s="60">
        <f>'Forecast P&amp;L'!Y30</f>
        <v>99356.008710453374</v>
      </c>
      <c r="Z6" s="60">
        <f>'Forecast P&amp;L'!Z30</f>
        <v>99315.489587863252</v>
      </c>
      <c r="AA6" s="48">
        <f>SUM(C6:Z6)</f>
        <v>4010962.8096271055</v>
      </c>
    </row>
    <row r="7" spans="2:27" ht="18" customHeight="1" x14ac:dyDescent="0.25">
      <c r="B7" s="61" t="s">
        <v>195</v>
      </c>
      <c r="C7" s="62">
        <f>'Forecast P&amp;L'!C8*Drivers!$C$53/30</f>
        <v>7569702.3809523815</v>
      </c>
      <c r="D7" s="62">
        <f>'Forecast P&amp;L'!D8*Drivers!$C$53/30</f>
        <v>5602763.4778911574</v>
      </c>
      <c r="E7" s="62">
        <f>'Forecast P&amp;L'!E8*Drivers!$C$53/30</f>
        <v>5003956.3927052962</v>
      </c>
      <c r="F7" s="62">
        <f>'Forecast P&amp;L'!F8*Drivers!$C$53/30</f>
        <v>4590351.7845804924</v>
      </c>
      <c r="G7" s="62">
        <f>'Forecast P&amp;L'!G8*Drivers!$C$53/30</f>
        <v>4304669.1731114304</v>
      </c>
      <c r="H7" s="62">
        <f>'Forecast P&amp;L'!H8*Drivers!$C$53/30</f>
        <v>4107344.1121895853</v>
      </c>
      <c r="I7" s="62">
        <f>'Forecast P&amp;L'!I8*Drivers!$C$53/30</f>
        <v>3971048.873681426</v>
      </c>
      <c r="J7" s="62">
        <f>'Forecast P&amp;L'!J8*Drivers!$C$53/30</f>
        <v>3876907.8053690032</v>
      </c>
      <c r="K7" s="62">
        <f>'Forecast P&amp;L'!K8*Drivers!$C$53/30</f>
        <v>3811883.2246132093</v>
      </c>
      <c r="L7" s="62">
        <f>'Forecast P&amp;L'!L8*Drivers!$C$53/30</f>
        <v>3766969.8177626003</v>
      </c>
      <c r="M7" s="62">
        <f>'Forecast P&amp;L'!M8*Drivers!$C$53/30</f>
        <v>3735947.4860307868</v>
      </c>
      <c r="N7" s="62">
        <f>'Forecast P&amp;L'!N8*Drivers!$C$53/30</f>
        <v>3714519.9183274554</v>
      </c>
      <c r="O7" s="62">
        <f>'Forecast P&amp;L'!O8*Drivers!$C$53/30</f>
        <v>3699719.591206654</v>
      </c>
      <c r="P7" s="62">
        <f>'Forecast P&amp;L'!P8*Drivers!$C$53/30</f>
        <v>3689496.7938310718</v>
      </c>
      <c r="Q7" s="62">
        <f>'Forecast P&amp;L'!Q8*Drivers!$C$53/30</f>
        <v>3682435.7616437953</v>
      </c>
      <c r="R7" s="62">
        <f>'Forecast P&amp;L'!R8*Drivers!$C$53/30</f>
        <v>3677558.6058401545</v>
      </c>
      <c r="S7" s="62">
        <f>'Forecast P&amp;L'!S8*Drivers!$C$53/30</f>
        <v>3674189.8846529257</v>
      </c>
      <c r="T7" s="62">
        <f>'Forecast P&amp;L'!T8*Drivers!$C$53/30</f>
        <v>3671863.0608043182</v>
      </c>
      <c r="U7" s="62">
        <f>'Forecast P&amp;L'!U8*Drivers!$C$53/30</f>
        <v>3670255.8903317447</v>
      </c>
      <c r="V7" s="62">
        <f>'Forecast P&amp;L'!V8*Drivers!$C$53/30</f>
        <v>3669145.7947267597</v>
      </c>
      <c r="W7" s="62">
        <f>'Forecast P&amp;L'!W8*Drivers!$C$53/30</f>
        <v>3668379.0358338882</v>
      </c>
      <c r="X7" s="62">
        <f>'Forecast P&amp;L'!X8*Drivers!$C$53/30</f>
        <v>3667849.4245128832</v>
      </c>
      <c r="Y7" s="62">
        <f>'Forecast P&amp;L'!Y8*Drivers!$C$53/30</f>
        <v>3667483.6144075892</v>
      </c>
      <c r="Z7" s="62">
        <f>'Forecast P&amp;L'!Z8*Drivers!$C$53/30</f>
        <v>3667230.944142004</v>
      </c>
      <c r="AA7" s="48">
        <f>SUM(C7:Z7)</f>
        <v>98161672.849148616</v>
      </c>
    </row>
    <row r="8" spans="2:27" ht="18" customHeight="1" x14ac:dyDescent="0.25">
      <c r="B8" s="63" t="s">
        <v>196</v>
      </c>
      <c r="C8" s="64">
        <f>ABS('Forecast P&amp;L'!C11+'Forecast P&amp;L'!C12)*Drivers!$C$55/30</f>
        <v>5615342.8571428563</v>
      </c>
      <c r="D8" s="64">
        <f>ABS('Forecast P&amp;L'!D11+'Forecast P&amp;L'!D12)*Drivers!$C$55/30</f>
        <v>4156231.8163265307</v>
      </c>
      <c r="E8" s="64">
        <f>ABS('Forecast P&amp;L'!E11+'Forecast P&amp;L'!E12)*Drivers!$C$55/30</f>
        <v>3712025.8331341106</v>
      </c>
      <c r="F8" s="64">
        <f>ABS('Forecast P&amp;L'!F11+'Forecast P&amp;L'!F12)*Drivers!$C$55/30</f>
        <v>3405206.4147433466</v>
      </c>
      <c r="G8" s="64">
        <f>ABS('Forecast P&amp;L'!G11+'Forecast P&amp;L'!G12)*Drivers!$C$55/30</f>
        <v>3193281.859326297</v>
      </c>
      <c r="H8" s="64">
        <f>ABS('Forecast P&amp;L'!H11+'Forecast P&amp;L'!H12)*Drivers!$C$55/30</f>
        <v>3046902.5414060927</v>
      </c>
      <c r="I8" s="64">
        <f>ABS('Forecast P&amp;L'!I11+'Forecast P&amp;L'!I12)*Drivers!$C$55/30</f>
        <v>2945796.2553854943</v>
      </c>
      <c r="J8" s="64">
        <f>ABS('Forecast P&amp;L'!J11+'Forecast P&amp;L'!J12)*Drivers!$C$55/30</f>
        <v>2875960.6992555512</v>
      </c>
      <c r="K8" s="64">
        <f>ABS('Forecast P&amp;L'!K11+'Forecast P&amp;L'!K12)*Drivers!$C$55/30</f>
        <v>2827724.282985799</v>
      </c>
      <c r="L8" s="64">
        <f>ABS('Forecast P&amp;L'!L11+'Forecast P&amp;L'!L12)*Drivers!$C$55/30</f>
        <v>2794406.7011766196</v>
      </c>
      <c r="M8" s="64">
        <f>ABS('Forecast P&amp;L'!M11+'Forecast P&amp;L'!M12)*Drivers!$C$55/30</f>
        <v>2771393.771455565</v>
      </c>
      <c r="N8" s="64">
        <f>ABS('Forecast P&amp;L'!N11+'Forecast P&amp;L'!N12)*Drivers!$C$55/30</f>
        <v>2755498.412141094</v>
      </c>
      <c r="O8" s="64">
        <f>ABS('Forecast P&amp;L'!O11+'Forecast P&amp;L'!O12)*Drivers!$C$55/30</f>
        <v>2744519.2603860265</v>
      </c>
      <c r="P8" s="64">
        <f>ABS('Forecast P&amp;L'!P11+'Forecast P&amp;L'!P12)*Drivers!$C$55/30</f>
        <v>2736935.8034237768</v>
      </c>
      <c r="Q8" s="64">
        <f>ABS('Forecast P&amp;L'!Q11+'Forecast P&amp;L'!Q12)*Drivers!$C$55/30</f>
        <v>2731697.8013648512</v>
      </c>
      <c r="R8" s="64">
        <f>ABS('Forecast P&amp;L'!R11+'Forecast P&amp;L'!R12)*Drivers!$C$55/30</f>
        <v>2728079.8385141506</v>
      </c>
      <c r="S8" s="64">
        <f>ABS('Forecast P&amp;L'!S11+'Forecast P&amp;L'!S12)*Drivers!$C$55/30</f>
        <v>2725580.8598879883</v>
      </c>
      <c r="T8" s="64">
        <f>ABS('Forecast P&amp;L'!T11+'Forecast P&amp;L'!T12)*Drivers!$C$55/30</f>
        <v>2723854.7796512032</v>
      </c>
      <c r="U8" s="64">
        <f>ABS('Forecast P&amp;L'!U11+'Forecast P&amp;L'!U12)*Drivers!$C$55/30</f>
        <v>2722662.5513733672</v>
      </c>
      <c r="V8" s="64">
        <f>ABS('Forecast P&amp;L'!V11+'Forecast P&amp;L'!V12)*Drivers!$C$55/30</f>
        <v>2721839.0622700327</v>
      </c>
      <c r="W8" s="64">
        <f>ABS('Forecast P&amp;L'!W11+'Forecast P&amp;L'!W12)*Drivers!$C$55/30</f>
        <v>2721270.2665822296</v>
      </c>
      <c r="X8" s="64">
        <f>ABS('Forecast P&amp;L'!X11+'Forecast P&amp;L'!X12)*Drivers!$C$55/30</f>
        <v>2720877.3912750115</v>
      </c>
      <c r="Y8" s="64">
        <f>ABS('Forecast P&amp;L'!Y11+'Forecast P&amp;L'!Y12)*Drivers!$C$55/30</f>
        <v>2720606.0266878111</v>
      </c>
      <c r="Z8" s="64">
        <f>ABS('Forecast P&amp;L'!Z11+'Forecast P&amp;L'!Z12)*Drivers!$C$55/30</f>
        <v>2720418.5912907952</v>
      </c>
      <c r="AA8" s="48">
        <f>SUM(C8:Z8)</f>
        <v>72818113.677186608</v>
      </c>
    </row>
    <row r="9" spans="2:27" ht="18" customHeight="1" x14ac:dyDescent="0.25">
      <c r="B9" s="61" t="s">
        <v>197</v>
      </c>
      <c r="C9" s="62">
        <f>ABS('Forecast P&amp;L'!C11)*Drivers!$C$54/30</f>
        <v>2427810</v>
      </c>
      <c r="D9" s="62">
        <f>ABS('Forecast P&amp;L'!D11)*Drivers!$C$54/30</f>
        <v>1796959.05</v>
      </c>
      <c r="E9" s="62">
        <f>ABS('Forecast P&amp;L'!E11)*Drivers!$C$54/30</f>
        <v>1604905.2866785715</v>
      </c>
      <c r="F9" s="62">
        <f>ABS('Forecast P&amp;L'!F11)*Drivers!$C$54/30</f>
        <v>1472251.0087272706</v>
      </c>
      <c r="G9" s="62">
        <f>ABS('Forecast P&amp;L'!G11)*Drivers!$C$54/30</f>
        <v>1380624.8038851931</v>
      </c>
      <c r="H9" s="62">
        <f>ABS('Forecast P&amp;L'!H11)*Drivers!$C$54/30</f>
        <v>1317337.2752549869</v>
      </c>
      <c r="I9" s="62">
        <f>ABS('Forecast P&amp;L'!I11)*Drivers!$C$54/30</f>
        <v>1273623.6751225519</v>
      </c>
      <c r="J9" s="62">
        <f>ABS('Forecast P&amp;L'!J11)*Drivers!$C$54/30</f>
        <v>1243430.0670310766</v>
      </c>
      <c r="K9" s="62">
        <f>ABS('Forecast P&amp;L'!K11)*Drivers!$C$54/30</f>
        <v>1222574.9105850367</v>
      </c>
      <c r="L9" s="62">
        <f>ABS('Forecast P&amp;L'!L11)*Drivers!$C$54/30</f>
        <v>1208169.9560969502</v>
      </c>
      <c r="M9" s="62">
        <f>ABS('Forecast P&amp;L'!M11)*Drivers!$C$54/30</f>
        <v>1198220.248246965</v>
      </c>
      <c r="N9" s="62">
        <f>ABS('Forecast P&amp;L'!N11)*Drivers!$C$54/30</f>
        <v>1191347.8428962966</v>
      </c>
      <c r="O9" s="62">
        <f>ABS('Forecast P&amp;L'!O11)*Drivers!$C$54/30</f>
        <v>1186600.9743433704</v>
      </c>
      <c r="P9" s="62">
        <f>ABS('Forecast P&amp;L'!P11)*Drivers!$C$54/30</f>
        <v>1183322.2444214562</v>
      </c>
      <c r="Q9" s="62">
        <f>ABS('Forecast P&amp;L'!Q11)*Drivers!$C$54/30</f>
        <v>1181057.5788253916</v>
      </c>
      <c r="R9" s="62">
        <f>ABS('Forecast P&amp;L'!R11)*Drivers!$C$54/30</f>
        <v>1179493.341945824</v>
      </c>
      <c r="S9" s="62">
        <f>ABS('Forecast P&amp;L'!S11)*Drivers!$C$54/30</f>
        <v>1178412.9011868655</v>
      </c>
      <c r="T9" s="62">
        <f>ABS('Forecast P&amp;L'!T11)*Drivers!$C$54/30</f>
        <v>1177666.625319785</v>
      </c>
      <c r="U9" s="62">
        <f>ABS('Forecast P&amp;L'!U11)*Drivers!$C$54/30</f>
        <v>1177151.1619173088</v>
      </c>
      <c r="V9" s="62">
        <f>ABS('Forecast P&amp;L'!V11)*Drivers!$C$54/30</f>
        <v>1176795.1239814551</v>
      </c>
      <c r="W9" s="62">
        <f>ABS('Forecast P&amp;L'!W11)*Drivers!$C$54/30</f>
        <v>1176549.2034929052</v>
      </c>
      <c r="X9" s="62">
        <f>ABS('Forecast P&amp;L'!X11)*Drivers!$C$54/30</f>
        <v>1176379.3426983138</v>
      </c>
      <c r="Y9" s="62">
        <f>ABS('Forecast P&amp;L'!Y11)*Drivers!$C$54/30</f>
        <v>1176262.0174209066</v>
      </c>
      <c r="Z9" s="62">
        <f>ABS('Forecast P&amp;L'!Z11)*Drivers!$C$54/30</f>
        <v>1176180.9791757264</v>
      </c>
      <c r="AA9" s="48">
        <f>SUM(C9:Z9)</f>
        <v>31483125.619254209</v>
      </c>
    </row>
    <row r="10" spans="2:27" ht="18" customHeight="1" x14ac:dyDescent="0.25">
      <c r="B10" s="63" t="s">
        <v>198</v>
      </c>
      <c r="C10" s="64">
        <f>'Backlog &amp; Orders'!C17*Drivers!$C$56</f>
        <v>1394214.2857142859</v>
      </c>
      <c r="D10" s="64">
        <f>'Backlog &amp; Orders'!D17*Drivers!$C$56</f>
        <v>1183003.724489796</v>
      </c>
      <c r="E10" s="64">
        <f>'Backlog &amp; Orders'!E17*Drivers!$C$56</f>
        <v>1037117.5725583092</v>
      </c>
      <c r="F10" s="64">
        <f>'Backlog &amp; Orders'!F17*Drivers!$C$56</f>
        <v>936351.92333134636</v>
      </c>
      <c r="G10" s="64">
        <f>'Backlog &amp; Orders'!G17*Drivers!$C$56</f>
        <v>866751.6499010087</v>
      </c>
      <c r="H10" s="64">
        <f>'Backlog &amp; Orders'!H17*Drivers!$C$56</f>
        <v>818677.74675305386</v>
      </c>
      <c r="I10" s="64">
        <f>'Backlog &amp; Orders'!I17*Drivers!$C$56</f>
        <v>785472.41507871635</v>
      </c>
      <c r="J10" s="64">
        <f>'Backlog &amp; Orders'!J17*Drivers!$C$56</f>
        <v>762537.01812937064</v>
      </c>
      <c r="K10" s="64">
        <f>'Backlog &amp; Orders'!K17*Drivers!$C$56</f>
        <v>746695.21180792956</v>
      </c>
      <c r="L10" s="64">
        <f>'Backlog &amp; Orders'!L17*Drivers!$C$56</f>
        <v>735753.04987019137</v>
      </c>
      <c r="M10" s="64">
        <f>'Backlog &amp; Orders'!M17*Drivers!$C$56</f>
        <v>728195.14230319648</v>
      </c>
      <c r="N10" s="64">
        <f>'Backlog &amp; Orders'!N17*Drivers!$C$56</f>
        <v>722974.78757656494</v>
      </c>
      <c r="O10" s="64">
        <f>'Backlog &amp; Orders'!O17*Drivers!$C$56</f>
        <v>719369.01399038441</v>
      </c>
      <c r="P10" s="64">
        <f>'Backlog &amp; Orders'!P17*Drivers!$C$56</f>
        <v>716878.4546633584</v>
      </c>
      <c r="Q10" s="64">
        <f>'Backlog &amp; Orders'!Q17*Drivers!$C$56</f>
        <v>715158.18975676247</v>
      </c>
      <c r="R10" s="64">
        <f>'Backlog &amp; Orders'!R17*Drivers!$C$56</f>
        <v>713969.97821056377</v>
      </c>
      <c r="S10" s="64">
        <f>'Backlog &amp; Orders'!S17*Drivers!$C$56</f>
        <v>713149.26352115371</v>
      </c>
      <c r="T10" s="64">
        <f>'Backlog &amp; Orders'!T17*Drivers!$C$56</f>
        <v>712582.38416068256</v>
      </c>
      <c r="U10" s="64">
        <f>'Backlog &amp; Orders'!U17*Drivers!$C$56</f>
        <v>712190.83248812857</v>
      </c>
      <c r="V10" s="64">
        <f>'Backlog &amp; Orders'!V17*Drivers!$C$56</f>
        <v>711920.38215430034</v>
      </c>
      <c r="W10" s="64">
        <f>'Backlog &amp; Orders'!W17*Drivers!$C$56</f>
        <v>711733.57824514888</v>
      </c>
      <c r="X10" s="64">
        <f>'Backlog &amp; Orders'!X17*Drivers!$C$56</f>
        <v>711604.55011647067</v>
      </c>
      <c r="Y10" s="64">
        <f>'Backlog &amp; Orders'!Y17*Drivers!$C$56</f>
        <v>711515.42854473367</v>
      </c>
      <c r="Z10" s="64">
        <f>'Backlog &amp; Orders'!Z17*Drivers!$C$56</f>
        <v>711453.87100196967</v>
      </c>
      <c r="AA10" s="48">
        <f>SUM(C10:Z10)</f>
        <v>19279270.454367429</v>
      </c>
    </row>
    <row r="12" spans="2:27" ht="18" customHeight="1" x14ac:dyDescent="0.25">
      <c r="B12" s="51" t="s">
        <v>199</v>
      </c>
      <c r="C12" s="47">
        <v>0</v>
      </c>
      <c r="D12" s="47">
        <f t="shared" ref="D12:Z12" si="0">-(D7-C7)</f>
        <v>1966938.9030612241</v>
      </c>
      <c r="E12" s="47">
        <f t="shared" si="0"/>
        <v>598807.08518586121</v>
      </c>
      <c r="F12" s="47">
        <f t="shared" si="0"/>
        <v>413604.60812480375</v>
      </c>
      <c r="G12" s="47">
        <f t="shared" si="0"/>
        <v>285682.61146906205</v>
      </c>
      <c r="H12" s="47">
        <f t="shared" si="0"/>
        <v>197325.06092184503</v>
      </c>
      <c r="I12" s="47">
        <f t="shared" si="0"/>
        <v>136295.23850815929</v>
      </c>
      <c r="J12" s="47">
        <f t="shared" si="0"/>
        <v>94141.068312422838</v>
      </c>
      <c r="K12" s="47">
        <f t="shared" si="0"/>
        <v>65024.580755793955</v>
      </c>
      <c r="L12" s="47">
        <f t="shared" si="0"/>
        <v>44913.406850608997</v>
      </c>
      <c r="M12" s="47">
        <f t="shared" si="0"/>
        <v>31022.331731813494</v>
      </c>
      <c r="N12" s="47">
        <f t="shared" si="0"/>
        <v>21427.567703331355</v>
      </c>
      <c r="O12" s="47">
        <f t="shared" si="0"/>
        <v>14800.327120801434</v>
      </c>
      <c r="P12" s="47">
        <f t="shared" si="0"/>
        <v>10222.797375582159</v>
      </c>
      <c r="Q12" s="47">
        <f t="shared" si="0"/>
        <v>7061.0321872765198</v>
      </c>
      <c r="R12" s="47">
        <f t="shared" si="0"/>
        <v>4877.1558036408387</v>
      </c>
      <c r="S12" s="47">
        <f t="shared" si="0"/>
        <v>3368.7211872288026</v>
      </c>
      <c r="T12" s="47">
        <f t="shared" si="0"/>
        <v>2326.8238486074843</v>
      </c>
      <c r="U12" s="47">
        <f t="shared" si="0"/>
        <v>1607.170472573489</v>
      </c>
      <c r="V12" s="47">
        <f t="shared" si="0"/>
        <v>1110.0956049850211</v>
      </c>
      <c r="W12" s="47">
        <f t="shared" si="0"/>
        <v>766.75889287143946</v>
      </c>
      <c r="X12" s="47">
        <f t="shared" si="0"/>
        <v>529.61132100503892</v>
      </c>
      <c r="Y12" s="47">
        <f t="shared" si="0"/>
        <v>365.81010529398918</v>
      </c>
      <c r="Z12" s="47">
        <f t="shared" si="0"/>
        <v>252.6702655851841</v>
      </c>
      <c r="AA12" s="48">
        <f>SUM(C12:Z12)</f>
        <v>3902471.4368103775</v>
      </c>
    </row>
    <row r="13" spans="2:27" ht="18" customHeight="1" x14ac:dyDescent="0.25">
      <c r="B13" s="51" t="s">
        <v>200</v>
      </c>
      <c r="C13" s="46">
        <v>0</v>
      </c>
      <c r="D13" s="46">
        <f t="shared" ref="D13:Z13" si="1">-(D8-C8)</f>
        <v>1459111.0408163257</v>
      </c>
      <c r="E13" s="46">
        <f t="shared" si="1"/>
        <v>444205.9831924201</v>
      </c>
      <c r="F13" s="46">
        <f t="shared" si="1"/>
        <v>306819.41839076392</v>
      </c>
      <c r="G13" s="46">
        <f t="shared" si="1"/>
        <v>211924.55541704968</v>
      </c>
      <c r="H13" s="46">
        <f t="shared" si="1"/>
        <v>146379.31792020425</v>
      </c>
      <c r="I13" s="46">
        <f t="shared" si="1"/>
        <v>101106.28602059837</v>
      </c>
      <c r="J13" s="46">
        <f t="shared" si="1"/>
        <v>69835.556129943114</v>
      </c>
      <c r="K13" s="46">
        <f t="shared" si="1"/>
        <v>48236.416269752197</v>
      </c>
      <c r="L13" s="46">
        <f t="shared" si="1"/>
        <v>33317.581809179392</v>
      </c>
      <c r="M13" s="46">
        <f t="shared" si="1"/>
        <v>23012.929721054621</v>
      </c>
      <c r="N13" s="46">
        <f t="shared" si="1"/>
        <v>15895.359314471018</v>
      </c>
      <c r="O13" s="46">
        <f t="shared" si="1"/>
        <v>10979.15175506752</v>
      </c>
      <c r="P13" s="46">
        <f t="shared" si="1"/>
        <v>7583.4569622497074</v>
      </c>
      <c r="Q13" s="46">
        <f t="shared" si="1"/>
        <v>5238.0020589255728</v>
      </c>
      <c r="R13" s="46">
        <f t="shared" si="1"/>
        <v>3617.9628507005982</v>
      </c>
      <c r="S13" s="46">
        <f t="shared" si="1"/>
        <v>2498.9786261622794</v>
      </c>
      <c r="T13" s="46">
        <f t="shared" si="1"/>
        <v>1726.0802367851138</v>
      </c>
      <c r="U13" s="46">
        <f t="shared" si="1"/>
        <v>1192.228277835995</v>
      </c>
      <c r="V13" s="46">
        <f t="shared" si="1"/>
        <v>823.48910333449021</v>
      </c>
      <c r="W13" s="46">
        <f t="shared" si="1"/>
        <v>568.79568780306727</v>
      </c>
      <c r="X13" s="46">
        <f t="shared" si="1"/>
        <v>392.87530721817166</v>
      </c>
      <c r="Y13" s="46">
        <f t="shared" si="1"/>
        <v>271.36458720033988</v>
      </c>
      <c r="Z13" s="46">
        <f t="shared" si="1"/>
        <v>187.43539701588452</v>
      </c>
      <c r="AA13" s="48">
        <f>SUM(C13:Z13)</f>
        <v>2894924.2658520611</v>
      </c>
    </row>
    <row r="14" spans="2:27" ht="18" customHeight="1" x14ac:dyDescent="0.25">
      <c r="B14" s="51" t="s">
        <v>201</v>
      </c>
      <c r="C14" s="47">
        <v>0</v>
      </c>
      <c r="D14" s="47">
        <f t="shared" ref="D14:Z14" si="2">(D9-C9)</f>
        <v>-630850.94999999995</v>
      </c>
      <c r="E14" s="47">
        <f t="shared" si="2"/>
        <v>-192053.76332142856</v>
      </c>
      <c r="F14" s="47">
        <f t="shared" si="2"/>
        <v>-132654.27795130084</v>
      </c>
      <c r="G14" s="47">
        <f t="shared" si="2"/>
        <v>-91626.204842077568</v>
      </c>
      <c r="H14" s="47">
        <f t="shared" si="2"/>
        <v>-63287.528630206129</v>
      </c>
      <c r="I14" s="47">
        <f t="shared" si="2"/>
        <v>-43713.600132435095</v>
      </c>
      <c r="J14" s="47">
        <f t="shared" si="2"/>
        <v>-30193.608091475209</v>
      </c>
      <c r="K14" s="47">
        <f t="shared" si="2"/>
        <v>-20855.156446039909</v>
      </c>
      <c r="L14" s="47">
        <f t="shared" si="2"/>
        <v>-14404.954488086514</v>
      </c>
      <c r="M14" s="47">
        <f t="shared" si="2"/>
        <v>-9949.7078499852214</v>
      </c>
      <c r="N14" s="47">
        <f t="shared" si="2"/>
        <v>-6872.4053506683558</v>
      </c>
      <c r="O14" s="47">
        <f t="shared" si="2"/>
        <v>-4746.8685529262293</v>
      </c>
      <c r="P14" s="47">
        <f t="shared" si="2"/>
        <v>-3278.7299219141714</v>
      </c>
      <c r="Q14" s="47">
        <f t="shared" si="2"/>
        <v>-2264.6655960646458</v>
      </c>
      <c r="R14" s="47">
        <f t="shared" si="2"/>
        <v>-1564.2368795676157</v>
      </c>
      <c r="S14" s="47">
        <f t="shared" si="2"/>
        <v>-1080.4407589584589</v>
      </c>
      <c r="T14" s="47">
        <f t="shared" si="2"/>
        <v>-746.27586708054878</v>
      </c>
      <c r="U14" s="47">
        <f t="shared" si="2"/>
        <v>-515.46340247616172</v>
      </c>
      <c r="V14" s="47">
        <f t="shared" si="2"/>
        <v>-356.03793585370295</v>
      </c>
      <c r="W14" s="47">
        <f t="shared" si="2"/>
        <v>-245.92048854986206</v>
      </c>
      <c r="X14" s="47">
        <f t="shared" si="2"/>
        <v>-169.86079459148459</v>
      </c>
      <c r="Y14" s="47">
        <f t="shared" si="2"/>
        <v>-117.32527740718797</v>
      </c>
      <c r="Z14" s="47">
        <f t="shared" si="2"/>
        <v>-81.038245180156082</v>
      </c>
      <c r="AA14" s="48">
        <f>SUM(C14:Z14)</f>
        <v>-1251629.0208242736</v>
      </c>
    </row>
    <row r="15" spans="2:27" ht="18" customHeight="1" x14ac:dyDescent="0.25">
      <c r="B15" s="51" t="s">
        <v>202</v>
      </c>
      <c r="C15" s="46">
        <v>0</v>
      </c>
      <c r="D15" s="46">
        <f t="shared" ref="D15:Z15" si="3">(D10-C10)</f>
        <v>-211210.56122448994</v>
      </c>
      <c r="E15" s="46">
        <f t="shared" si="3"/>
        <v>-145886.15193148679</v>
      </c>
      <c r="F15" s="46">
        <f t="shared" si="3"/>
        <v>-100765.64922696282</v>
      </c>
      <c r="G15" s="46">
        <f t="shared" si="3"/>
        <v>-69600.273430337664</v>
      </c>
      <c r="H15" s="46">
        <f t="shared" si="3"/>
        <v>-48073.903147954843</v>
      </c>
      <c r="I15" s="46">
        <f t="shared" si="3"/>
        <v>-33205.331674337504</v>
      </c>
      <c r="J15" s="46">
        <f t="shared" si="3"/>
        <v>-22935.396949345712</v>
      </c>
      <c r="K15" s="46">
        <f t="shared" si="3"/>
        <v>-15841.806321441079</v>
      </c>
      <c r="L15" s="46">
        <f t="shared" si="3"/>
        <v>-10942.161937738187</v>
      </c>
      <c r="M15" s="46">
        <f t="shared" si="3"/>
        <v>-7557.9075669948943</v>
      </c>
      <c r="N15" s="46">
        <f t="shared" si="3"/>
        <v>-5220.3547266315436</v>
      </c>
      <c r="O15" s="46">
        <f t="shared" si="3"/>
        <v>-3605.7735861805268</v>
      </c>
      <c r="P15" s="46">
        <f t="shared" si="3"/>
        <v>-2490.5593270260142</v>
      </c>
      <c r="Q15" s="46">
        <f t="shared" si="3"/>
        <v>-1720.2649065959267</v>
      </c>
      <c r="R15" s="46">
        <f t="shared" si="3"/>
        <v>-1188.2115461986978</v>
      </c>
      <c r="S15" s="46">
        <f t="shared" si="3"/>
        <v>-820.71468941005878</v>
      </c>
      <c r="T15" s="46">
        <f t="shared" si="3"/>
        <v>-566.87936047115363</v>
      </c>
      <c r="U15" s="46">
        <f t="shared" si="3"/>
        <v>-391.55167255399283</v>
      </c>
      <c r="V15" s="46">
        <f t="shared" si="3"/>
        <v>-270.45033382822294</v>
      </c>
      <c r="W15" s="46">
        <f t="shared" si="3"/>
        <v>-186.80390915146563</v>
      </c>
      <c r="X15" s="46">
        <f t="shared" si="3"/>
        <v>-129.02812867821194</v>
      </c>
      <c r="Y15" s="46">
        <f t="shared" si="3"/>
        <v>-89.121571736992337</v>
      </c>
      <c r="Z15" s="46">
        <f t="shared" si="3"/>
        <v>-61.557542763999663</v>
      </c>
      <c r="AA15" s="48">
        <f>SUM(C15:Z15)</f>
        <v>-682760.41471231624</v>
      </c>
    </row>
    <row r="17" spans="2:27" ht="18" customHeight="1" x14ac:dyDescent="0.25">
      <c r="B17" s="52" t="s">
        <v>203</v>
      </c>
      <c r="C17" s="65">
        <f t="shared" ref="C17:Z17" si="4">C6+C12+C13+C14+C15</f>
        <v>725130</v>
      </c>
      <c r="D17" s="65">
        <f t="shared" si="4"/>
        <v>2993692.9576530601</v>
      </c>
      <c r="E17" s="65">
        <f t="shared" si="4"/>
        <v>1018750.7964646516</v>
      </c>
      <c r="F17" s="65">
        <f t="shared" si="4"/>
        <v>734354.60370093933</v>
      </c>
      <c r="G17" s="65">
        <f t="shared" si="4"/>
        <v>537918.09055629326</v>
      </c>
      <c r="H17" s="65">
        <f t="shared" si="4"/>
        <v>402236.58469138178</v>
      </c>
      <c r="I17" s="65">
        <f t="shared" si="4"/>
        <v>308519.430283261</v>
      </c>
      <c r="J17" s="65">
        <f t="shared" si="4"/>
        <v>243787.65291708341</v>
      </c>
      <c r="K17" s="65">
        <f t="shared" si="4"/>
        <v>199076.48955058338</v>
      </c>
      <c r="L17" s="65">
        <f t="shared" si="4"/>
        <v>168193.850282439</v>
      </c>
      <c r="M17" s="65">
        <f t="shared" si="4"/>
        <v>146862.7701593705</v>
      </c>
      <c r="N17" s="65">
        <f t="shared" si="4"/>
        <v>132129.08838865068</v>
      </c>
      <c r="O17" s="65">
        <f t="shared" si="4"/>
        <v>121952.32390844758</v>
      </c>
      <c r="P17" s="65">
        <f t="shared" si="4"/>
        <v>114923.08729961992</v>
      </c>
      <c r="Q17" s="65">
        <f t="shared" si="4"/>
        <v>110067.89315623752</v>
      </c>
      <c r="R17" s="65">
        <f t="shared" si="4"/>
        <v>106714.3412014872</v>
      </c>
      <c r="S17" s="65">
        <f t="shared" si="4"/>
        <v>104397.99495845535</v>
      </c>
      <c r="T17" s="65">
        <f t="shared" si="4"/>
        <v>102798.0615177335</v>
      </c>
      <c r="U17" s="65">
        <f t="shared" si="4"/>
        <v>101692.96463403371</v>
      </c>
      <c r="V17" s="65">
        <f t="shared" si="4"/>
        <v>100929.65842936524</v>
      </c>
      <c r="W17" s="65">
        <f t="shared" si="4"/>
        <v>100402.43192942583</v>
      </c>
      <c r="X17" s="65">
        <f t="shared" si="4"/>
        <v>100038.26905411048</v>
      </c>
      <c r="Y17" s="65">
        <f t="shared" si="4"/>
        <v>99786.736553803523</v>
      </c>
      <c r="Z17" s="65">
        <f t="shared" si="4"/>
        <v>99612.999462520165</v>
      </c>
      <c r="AA17" s="48">
        <f>SUM(C17:Z17)</f>
        <v>8873969.0767529532</v>
      </c>
    </row>
    <row r="19" spans="2:27" ht="21.75" customHeight="1" x14ac:dyDescent="0.25">
      <c r="B19" s="52" t="s">
        <v>204</v>
      </c>
      <c r="C19" s="48">
        <f>C17</f>
        <v>725130</v>
      </c>
      <c r="D19" s="48">
        <f t="shared" ref="D19:Z19" si="5">C19+D17</f>
        <v>3718822.9576530601</v>
      </c>
      <c r="E19" s="48">
        <f t="shared" si="5"/>
        <v>4737573.7541177114</v>
      </c>
      <c r="F19" s="48">
        <f t="shared" si="5"/>
        <v>5471928.357818651</v>
      </c>
      <c r="G19" s="48">
        <f t="shared" si="5"/>
        <v>6009846.4483749438</v>
      </c>
      <c r="H19" s="48">
        <f t="shared" si="5"/>
        <v>6412083.0330663258</v>
      </c>
      <c r="I19" s="48">
        <f t="shared" si="5"/>
        <v>6720602.4633495864</v>
      </c>
      <c r="J19" s="48">
        <f t="shared" si="5"/>
        <v>6964390.1162666697</v>
      </c>
      <c r="K19" s="48">
        <f t="shared" si="5"/>
        <v>7163466.6058172528</v>
      </c>
      <c r="L19" s="48">
        <f t="shared" si="5"/>
        <v>7331660.4560996918</v>
      </c>
      <c r="M19" s="48">
        <f t="shared" si="5"/>
        <v>7478523.2262590621</v>
      </c>
      <c r="N19" s="48">
        <f t="shared" si="5"/>
        <v>7610652.3146477127</v>
      </c>
      <c r="O19" s="48">
        <f t="shared" si="5"/>
        <v>7732604.63855616</v>
      </c>
      <c r="P19" s="48">
        <f t="shared" si="5"/>
        <v>7847527.7258557798</v>
      </c>
      <c r="Q19" s="48">
        <f t="shared" si="5"/>
        <v>7957595.6190120177</v>
      </c>
      <c r="R19" s="48">
        <f t="shared" si="5"/>
        <v>8064309.9602135047</v>
      </c>
      <c r="S19" s="48">
        <f t="shared" si="5"/>
        <v>8168707.9551719604</v>
      </c>
      <c r="T19" s="48">
        <f t="shared" si="5"/>
        <v>8271506.0166896936</v>
      </c>
      <c r="U19" s="48">
        <f t="shared" si="5"/>
        <v>8373198.9813237274</v>
      </c>
      <c r="V19" s="48">
        <f t="shared" si="5"/>
        <v>8474128.6397530921</v>
      </c>
      <c r="W19" s="48">
        <f t="shared" si="5"/>
        <v>8574531.0716825183</v>
      </c>
      <c r="X19" s="48">
        <f t="shared" si="5"/>
        <v>8674569.3407366294</v>
      </c>
      <c r="Y19" s="48">
        <f t="shared" si="5"/>
        <v>8774356.0772904325</v>
      </c>
      <c r="Z19" s="48">
        <f t="shared" si="5"/>
        <v>8873969.0767529532</v>
      </c>
    </row>
  </sheetData>
  <mergeCells count="3">
    <mergeCell ref="B1:AA1"/>
    <mergeCell ref="B2:AA2"/>
    <mergeCell ref="B5:AA5"/>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40"/>
  <sheetViews>
    <sheetView showGridLines="0" topLeftCell="A6" zoomScaleNormal="100" workbookViewId="0">
      <selection activeCell="H29" sqref="H29"/>
    </sheetView>
  </sheetViews>
  <sheetFormatPr defaultColWidth="8.7109375" defaultRowHeight="15" x14ac:dyDescent="0.25"/>
  <cols>
    <col min="1" max="1" width="3" customWidth="1"/>
    <col min="2" max="2" width="30" customWidth="1"/>
    <col min="3" max="9" width="14" customWidth="1"/>
  </cols>
  <sheetData>
    <row r="1" spans="2:9" ht="30" customHeight="1" x14ac:dyDescent="0.25">
      <c r="B1" s="90" t="s">
        <v>205</v>
      </c>
      <c r="C1" s="90"/>
      <c r="D1" s="90"/>
      <c r="E1" s="90"/>
      <c r="F1" s="90"/>
      <c r="G1" s="90"/>
      <c r="H1" s="90"/>
      <c r="I1" s="90"/>
    </row>
    <row r="2" spans="2:9" ht="15" customHeight="1" x14ac:dyDescent="0.25">
      <c r="B2" s="87" t="s">
        <v>206</v>
      </c>
      <c r="C2" s="87"/>
      <c r="D2" s="87"/>
      <c r="E2" s="87"/>
      <c r="F2" s="87"/>
      <c r="G2" s="87"/>
      <c r="H2" s="87"/>
      <c r="I2" s="87"/>
    </row>
    <row r="4" spans="2:9" ht="36" customHeight="1" x14ac:dyDescent="0.25">
      <c r="B4" s="97" t="s">
        <v>207</v>
      </c>
      <c r="C4" s="97"/>
      <c r="D4" s="97"/>
      <c r="E4" s="97"/>
      <c r="F4" s="97"/>
      <c r="G4" s="97"/>
      <c r="H4" s="97"/>
      <c r="I4" s="97"/>
    </row>
    <row r="6" spans="2:9" ht="21.75" customHeight="1" x14ac:dyDescent="0.25">
      <c r="B6" s="88" t="s">
        <v>208</v>
      </c>
      <c r="C6" s="88"/>
      <c r="D6" s="88"/>
      <c r="E6" s="88"/>
      <c r="F6" s="88"/>
      <c r="G6" s="88"/>
      <c r="H6" s="88"/>
      <c r="I6" s="88"/>
    </row>
    <row r="7" spans="2:9" ht="27.75" customHeight="1" x14ac:dyDescent="0.25">
      <c r="B7" s="66" t="s">
        <v>209</v>
      </c>
      <c r="C7" s="5" t="s">
        <v>210</v>
      </c>
      <c r="D7" s="5" t="s">
        <v>211</v>
      </c>
      <c r="E7" s="5" t="s">
        <v>212</v>
      </c>
      <c r="F7" s="5" t="s">
        <v>213</v>
      </c>
      <c r="G7" s="5" t="s">
        <v>214</v>
      </c>
      <c r="H7" s="5" t="s">
        <v>215</v>
      </c>
    </row>
    <row r="8" spans="2:9" ht="19.5" customHeight="1" x14ac:dyDescent="0.25">
      <c r="B8" s="5" t="s">
        <v>216</v>
      </c>
      <c r="C8" s="67">
        <f>((Drivers!$C$10*12*(1+-0.2)*(1-MIN(0.1,MAX(0,-2*0.005))))+(Drivers!$C$15*12*(1+-0.2)*(1-MIN(0.35,MAX(0,-2*Drivers!$C$18)))))</f>
        <v>19200000</v>
      </c>
      <c r="D8" s="67">
        <f>((Drivers!$C$10*12*(1+-0.1)*(1-MIN(0.1,MAX(0,-2*0.005))))+(Drivers!$C$15*12*(1+-0.1)*(1-MIN(0.35,MAX(0,-2*Drivers!$C$18)))))</f>
        <v>21600000</v>
      </c>
      <c r="E8" s="67">
        <f>((Drivers!$C$10*12*(1+0)*(1-MIN(0.1,MAX(0,-2*0.005))))+(Drivers!$C$15*12*(1+0)*(1-MIN(0.35,MAX(0,-2*Drivers!$C$18)))))</f>
        <v>24000000</v>
      </c>
      <c r="F8" s="67">
        <f>((Drivers!$C$10*12*(1+0.1)*(1-MIN(0.1,MAX(0,-2*0.005))))+(Drivers!$C$15*12*(1+0.1)*(1-MIN(0.35,MAX(0,-2*Drivers!$C$18)))))</f>
        <v>26400000.000000004</v>
      </c>
      <c r="G8" s="67">
        <f>((Drivers!$C$10*12*(1+0.2)*(1-MIN(0.1,MAX(0,-2*0.005))))+(Drivers!$C$15*12*(1+0.2)*(1-MIN(0.35,MAX(0,-2*Drivers!$C$18)))))</f>
        <v>28800000</v>
      </c>
      <c r="H8" s="67">
        <f>((Drivers!$C$10*12*(1+0.3)*(1-MIN(0.1,MAX(0,-2*0.005))))+(Drivers!$C$15*12*(1+0.3)*(1-MIN(0.35,MAX(0,-2*Drivers!$C$18)))))</f>
        <v>31200000</v>
      </c>
    </row>
    <row r="9" spans="2:9" ht="19.5" customHeight="1" x14ac:dyDescent="0.25">
      <c r="B9" s="5" t="s">
        <v>217</v>
      </c>
      <c r="C9" s="67">
        <f>((Drivers!$C$10*12*(1+-0.2)*(1-MIN(0.1,MAX(0,0*0.005))))+(Drivers!$C$15*12*(1+-0.2)*(1-MIN(0.35,MAX(0,0*Drivers!$C$18)))))</f>
        <v>19200000</v>
      </c>
      <c r="D9" s="67">
        <f>((Drivers!$C$10*12*(1+-0.1)*(1-MIN(0.1,MAX(0,0*0.005))))+(Drivers!$C$15*12*(1+-0.1)*(1-MIN(0.35,MAX(0,0*Drivers!$C$18)))))</f>
        <v>21600000</v>
      </c>
      <c r="E9" s="67">
        <f>((Drivers!$C$10*12*(1+0)*(1-MIN(0.1,MAX(0,0*0.005))))+(Drivers!$C$15*12*(1+0)*(1-MIN(0.35,MAX(0,0*Drivers!$C$18)))))</f>
        <v>24000000</v>
      </c>
      <c r="F9" s="67">
        <f>((Drivers!$C$10*12*(1+0.1)*(1-MIN(0.1,MAX(0,0*0.005))))+(Drivers!$C$15*12*(1+0.1)*(1-MIN(0.35,MAX(0,0*Drivers!$C$18)))))</f>
        <v>26400000.000000004</v>
      </c>
      <c r="G9" s="67">
        <f>((Drivers!$C$10*12*(1+0.2)*(1-MIN(0.1,MAX(0,0*0.005))))+(Drivers!$C$15*12*(1+0.2)*(1-MIN(0.35,MAX(0,0*Drivers!$C$18)))))</f>
        <v>28800000</v>
      </c>
      <c r="H9" s="67">
        <f>((Drivers!$C$10*12*(1+0.3)*(1-MIN(0.1,MAX(0,0*0.005))))+(Drivers!$C$15*12*(1+0.3)*(1-MIN(0.35,MAX(0,0*Drivers!$C$18)))))</f>
        <v>31200000</v>
      </c>
    </row>
    <row r="10" spans="2:9" ht="19.5" customHeight="1" x14ac:dyDescent="0.25">
      <c r="B10" s="5" t="s">
        <v>218</v>
      </c>
      <c r="C10" s="67">
        <f>((Drivers!$C$10*12*(1+-0.2)*(1-MIN(0.1,MAX(0,2*0.005))))+(Drivers!$C$15*12*(1+-0.2)*(1-MIN(0.35,MAX(0,2*Drivers!$C$18)))))</f>
        <v>18480000</v>
      </c>
      <c r="D10" s="67">
        <f>((Drivers!$C$10*12*(1+-0.1)*(1-MIN(0.1,MAX(0,2*0.005))))+(Drivers!$C$15*12*(1+-0.1)*(1-MIN(0.35,MAX(0,2*Drivers!$C$18)))))</f>
        <v>20790000</v>
      </c>
      <c r="E10" s="67">
        <f>((Drivers!$C$10*12*(1+0)*(1-MIN(0.1,MAX(0,2*0.005))))+(Drivers!$C$15*12*(1+0)*(1-MIN(0.35,MAX(0,2*Drivers!$C$18)))))</f>
        <v>23100000</v>
      </c>
      <c r="F10" s="67">
        <f>((Drivers!$C$10*12*(1+0.1)*(1-MIN(0.1,MAX(0,2*0.005))))+(Drivers!$C$15*12*(1+0.1)*(1-MIN(0.35,MAX(0,2*Drivers!$C$18)))))</f>
        <v>25410000.000000004</v>
      </c>
      <c r="G10" s="67">
        <f>((Drivers!$C$10*12*(1+0.2)*(1-MIN(0.1,MAX(0,2*0.005))))+(Drivers!$C$15*12*(1+0.2)*(1-MIN(0.35,MAX(0,2*Drivers!$C$18)))))</f>
        <v>27720000</v>
      </c>
      <c r="H10" s="67">
        <f>((Drivers!$C$10*12*(1+0.3)*(1-MIN(0.1,MAX(0,2*0.005))))+(Drivers!$C$15*12*(1+0.3)*(1-MIN(0.35,MAX(0,2*Drivers!$C$18)))))</f>
        <v>30030000</v>
      </c>
    </row>
    <row r="11" spans="2:9" ht="19.5" customHeight="1" x14ac:dyDescent="0.25">
      <c r="B11" s="5" t="s">
        <v>219</v>
      </c>
      <c r="C11" s="67">
        <f>((Drivers!$C$10*12*(1+-0.2)*(1-MIN(0.1,MAX(0,4*0.005))))+(Drivers!$C$15*12*(1+-0.2)*(1-MIN(0.35,MAX(0,4*Drivers!$C$18)))))</f>
        <v>17760000</v>
      </c>
      <c r="D11" s="67">
        <f>((Drivers!$C$10*12*(1+-0.1)*(1-MIN(0.1,MAX(0,4*0.005))))+(Drivers!$C$15*12*(1+-0.1)*(1-MIN(0.35,MAX(0,4*Drivers!$C$18)))))</f>
        <v>19980000</v>
      </c>
      <c r="E11" s="67">
        <f>((Drivers!$C$10*12*(1+0)*(1-MIN(0.1,MAX(0,4*0.005))))+(Drivers!$C$15*12*(1+0)*(1-MIN(0.35,MAX(0,4*Drivers!$C$18)))))</f>
        <v>22200000</v>
      </c>
      <c r="F11" s="67">
        <f>((Drivers!$C$10*12*(1+0.1)*(1-MIN(0.1,MAX(0,4*0.005))))+(Drivers!$C$15*12*(1+0.1)*(1-MIN(0.35,MAX(0,4*Drivers!$C$18)))))</f>
        <v>24420000.000000004</v>
      </c>
      <c r="G11" s="67">
        <f>((Drivers!$C$10*12*(1+0.2)*(1-MIN(0.1,MAX(0,4*0.005))))+(Drivers!$C$15*12*(1+0.2)*(1-MIN(0.35,MAX(0,4*Drivers!$C$18)))))</f>
        <v>26640000</v>
      </c>
      <c r="H11" s="67">
        <f>((Drivers!$C$10*12*(1+0.3)*(1-MIN(0.1,MAX(0,4*0.005))))+(Drivers!$C$15*12*(1+0.3)*(1-MIN(0.35,MAX(0,4*Drivers!$C$18)))))</f>
        <v>28860000</v>
      </c>
    </row>
    <row r="12" spans="2:9" ht="19.5" customHeight="1" x14ac:dyDescent="0.25">
      <c r="B12" s="5" t="s">
        <v>220</v>
      </c>
      <c r="C12" s="67">
        <f>((Drivers!$C$10*12*(1+-0.2)*(1-MIN(0.1,MAX(0,6*0.005))))+(Drivers!$C$15*12*(1+-0.2)*(1-MIN(0.35,MAX(0,6*Drivers!$C$18)))))</f>
        <v>17040000</v>
      </c>
      <c r="D12" s="67">
        <f>((Drivers!$C$10*12*(1+-0.1)*(1-MIN(0.1,MAX(0,6*0.005))))+(Drivers!$C$15*12*(1+-0.1)*(1-MIN(0.35,MAX(0,6*Drivers!$C$18)))))</f>
        <v>19170000</v>
      </c>
      <c r="E12" s="67">
        <f>((Drivers!$C$10*12*(1+0)*(1-MIN(0.1,MAX(0,6*0.005))))+(Drivers!$C$15*12*(1+0)*(1-MIN(0.35,MAX(0,6*Drivers!$C$18)))))</f>
        <v>21300000</v>
      </c>
      <c r="F12" s="67">
        <f>((Drivers!$C$10*12*(1+0.1)*(1-MIN(0.1,MAX(0,6*0.005))))+(Drivers!$C$15*12*(1+0.1)*(1-MIN(0.35,MAX(0,6*Drivers!$C$18)))))</f>
        <v>23430000.000000004</v>
      </c>
      <c r="G12" s="67">
        <f>((Drivers!$C$10*12*(1+0.2)*(1-MIN(0.1,MAX(0,6*0.005))))+(Drivers!$C$15*12*(1+0.2)*(1-MIN(0.35,MAX(0,6*Drivers!$C$18)))))</f>
        <v>25560000</v>
      </c>
      <c r="H12" s="67">
        <f>((Drivers!$C$10*12*(1+0.3)*(1-MIN(0.1,MAX(0,6*0.005))))+(Drivers!$C$15*12*(1+0.3)*(1-MIN(0.35,MAX(0,6*Drivers!$C$18)))))</f>
        <v>27690000</v>
      </c>
    </row>
    <row r="13" spans="2:9" ht="19.5" customHeight="1" x14ac:dyDescent="0.25">
      <c r="B13" s="5" t="s">
        <v>221</v>
      </c>
      <c r="C13" s="67">
        <f>((Drivers!$C$10*12*(1+-0.2)*(1-MIN(0.1,MAX(0,8*0.005))))+(Drivers!$C$15*12*(1+-0.2)*(1-MIN(0.35,MAX(0,8*Drivers!$C$18)))))</f>
        <v>16320000</v>
      </c>
      <c r="D13" s="67">
        <f>((Drivers!$C$10*12*(1+-0.1)*(1-MIN(0.1,MAX(0,8*0.005))))+(Drivers!$C$15*12*(1+-0.1)*(1-MIN(0.35,MAX(0,8*Drivers!$C$18)))))</f>
        <v>18360000</v>
      </c>
      <c r="E13" s="67">
        <f>((Drivers!$C$10*12*(1+0)*(1-MIN(0.1,MAX(0,8*0.005))))+(Drivers!$C$15*12*(1+0)*(1-MIN(0.35,MAX(0,8*Drivers!$C$18)))))</f>
        <v>20400000</v>
      </c>
      <c r="F13" s="67">
        <f>((Drivers!$C$10*12*(1+0.1)*(1-MIN(0.1,MAX(0,8*0.005))))+(Drivers!$C$15*12*(1+0.1)*(1-MIN(0.35,MAX(0,8*Drivers!$C$18)))))</f>
        <v>22440000.000000004</v>
      </c>
      <c r="G13" s="67">
        <f>((Drivers!$C$10*12*(1+0.2)*(1-MIN(0.1,MAX(0,8*0.005))))+(Drivers!$C$15*12*(1+0.2)*(1-MIN(0.35,MAX(0,8*Drivers!$C$18)))))</f>
        <v>24480000</v>
      </c>
      <c r="H13" s="67">
        <f>((Drivers!$C$10*12*(1+0.3)*(1-MIN(0.1,MAX(0,8*0.005))))+(Drivers!$C$15*12*(1+0.3)*(1-MIN(0.35,MAX(0,8*Drivers!$C$18)))))</f>
        <v>26520000</v>
      </c>
    </row>
    <row r="16" spans="2:9" ht="21.75" customHeight="1" x14ac:dyDescent="0.25">
      <c r="B16" s="88" t="s">
        <v>222</v>
      </c>
      <c r="C16" s="88"/>
      <c r="D16" s="88"/>
      <c r="E16" s="88"/>
      <c r="F16" s="88"/>
      <c r="G16" s="88"/>
      <c r="H16" s="88"/>
      <c r="I16" s="88"/>
    </row>
    <row r="17" spans="2:9" ht="27.75" customHeight="1" x14ac:dyDescent="0.25">
      <c r="B17" s="66" t="s">
        <v>209</v>
      </c>
      <c r="C17" s="5" t="s">
        <v>210</v>
      </c>
      <c r="D17" s="5" t="s">
        <v>211</v>
      </c>
      <c r="E17" s="5" t="s">
        <v>212</v>
      </c>
      <c r="F17" s="5" t="s">
        <v>213</v>
      </c>
      <c r="G17" s="5" t="s">
        <v>214</v>
      </c>
      <c r="H17" s="5" t="s">
        <v>215</v>
      </c>
    </row>
    <row r="18" spans="2:9" ht="19.5" customHeight="1" x14ac:dyDescent="0.25">
      <c r="B18" s="5" t="s">
        <v>216</v>
      </c>
      <c r="C18" s="67">
        <f>(((((Drivers!$C$10*12*(1+-0.2)*(1-MIN(0.1,MAX(0,-2*0.005))))*Drivers!$C$12)+((Drivers!$C$15*12*(1+-0.2)*(1-MIN(0.35,MAX(0,-2*Drivers!$C$18))))*Drivers!$C$17))-(Drivers!$C$22*12+Drivers!$C$32*12+Drivers!$C$33*12))-MAX(0,((((Drivers!$C$10*12*(1+-0.2)*(1-MIN(0.1,MAX(0,-2*0.005))))*Drivers!$C$12)+((Drivers!$C$15*12*(1+-0.2)*(1-MIN(0.35,MAX(0,-2*Drivers!$C$18))))*Drivers!$C$17))-(Drivers!$C$22*12+Drivers!$C$32*12+Drivers!$C$33*12))*Drivers!$C$34))</f>
        <v>-1202400</v>
      </c>
      <c r="D18" s="67">
        <f>(((((Drivers!$C$10*12*(1+-0.1)*(1-MIN(0.1,MAX(0,-2*0.005))))*Drivers!$C$12)+((Drivers!$C$15*12*(1+-0.1)*(1-MIN(0.35,MAX(0,-2*Drivers!$C$18))))*Drivers!$C$17))-(Drivers!$C$22*12+Drivers!$C$32*12+Drivers!$C$33*12))-MAX(0,((((Drivers!$C$10*12*(1+-0.1)*(1-MIN(0.1,MAX(0,-2*0.005))))*Drivers!$C$12)+((Drivers!$C$15*12*(1+-0.1)*(1-MIN(0.35,MAX(0,-2*Drivers!$C$18))))*Drivers!$C$17))-(Drivers!$C$22*12+Drivers!$C$32*12+Drivers!$C$33*12))*Drivers!$C$34))</f>
        <v>-355200</v>
      </c>
      <c r="E18" s="67">
        <f>(((((Drivers!$C$10*12*(1+0)*(1-MIN(0.1,MAX(0,-2*0.005))))*Drivers!$C$12)+((Drivers!$C$15*12*(1+0)*(1-MIN(0.35,MAX(0,-2*Drivers!$C$18))))*Drivers!$C$17))-(Drivers!$C$22*12+Drivers!$C$32*12+Drivers!$C$33*12))-MAX(0,((((Drivers!$C$10*12*(1+0)*(1-MIN(0.1,MAX(0,-2*0.005))))*Drivers!$C$12)+((Drivers!$C$15*12*(1+0)*(1-MIN(0.35,MAX(0,-2*Drivers!$C$18))))*Drivers!$C$17))-(Drivers!$C$22*12+Drivers!$C$32*12+Drivers!$C$33*12))*Drivers!$C$34))</f>
        <v>361620</v>
      </c>
      <c r="F18" s="67">
        <f>(((((Drivers!$C$10*12*(1+0.1)*(1-MIN(0.1,MAX(0,-2*0.005))))*Drivers!$C$12)+((Drivers!$C$15*12*(1+0.1)*(1-MIN(0.35,MAX(0,-2*Drivers!$C$18))))*Drivers!$C$17))-(Drivers!$C$22*12+Drivers!$C$32*12+Drivers!$C$33*12))-MAX(0,((((Drivers!$C$10*12*(1+0.1)*(1-MIN(0.1,MAX(0,-2*0.005))))*Drivers!$C$12)+((Drivers!$C$15*12*(1+0.1)*(1-MIN(0.35,MAX(0,-2*Drivers!$C$18))))*Drivers!$C$17))-(Drivers!$C$22*12+Drivers!$C$32*12+Drivers!$C$33*12))*Drivers!$C$34))</f>
        <v>984312.0000000014</v>
      </c>
      <c r="G18" s="67">
        <f>(((((Drivers!$C$10*12*(1+0.2)*(1-MIN(0.1,MAX(0,-2*0.005))))*Drivers!$C$12)+((Drivers!$C$15*12*(1+0.2)*(1-MIN(0.35,MAX(0,-2*Drivers!$C$18))))*Drivers!$C$17))-(Drivers!$C$22*12+Drivers!$C$32*12+Drivers!$C$33*12))-MAX(0,((((Drivers!$C$10*12*(1+0.2)*(1-MIN(0.1,MAX(0,-2*0.005))))*Drivers!$C$12)+((Drivers!$C$15*12*(1+0.2)*(1-MIN(0.35,MAX(0,-2*Drivers!$C$18))))*Drivers!$C$17))-(Drivers!$C$22*12+Drivers!$C$32*12+Drivers!$C$33*12))*Drivers!$C$34))</f>
        <v>1607004</v>
      </c>
      <c r="H18" s="67">
        <f>(((((Drivers!$C$10*12*(1+0.3)*(1-MIN(0.1,MAX(0,-2*0.005))))*Drivers!$C$12)+((Drivers!$C$15*12*(1+0.3)*(1-MIN(0.35,MAX(0,-2*Drivers!$C$18))))*Drivers!$C$17))-(Drivers!$C$22*12+Drivers!$C$32*12+Drivers!$C$33*12))-MAX(0,((((Drivers!$C$10*12*(1+0.3)*(1-MIN(0.1,MAX(0,-2*0.005))))*Drivers!$C$12)+((Drivers!$C$15*12*(1+0.3)*(1-MIN(0.35,MAX(0,-2*Drivers!$C$18))))*Drivers!$C$17))-(Drivers!$C$22*12+Drivers!$C$32*12+Drivers!$C$33*12))*Drivers!$C$34))</f>
        <v>2229696</v>
      </c>
    </row>
    <row r="19" spans="2:9" ht="19.5" customHeight="1" x14ac:dyDescent="0.25">
      <c r="B19" s="5" t="s">
        <v>217</v>
      </c>
      <c r="C19" s="67">
        <f>(((((Drivers!$C$10*12*(1+-0.2)*(1-MIN(0.1,MAX(0,0*0.005))))*Drivers!$C$12)+((Drivers!$C$15*12*(1+-0.2)*(1-MIN(0.35,MAX(0,0*Drivers!$C$18))))*Drivers!$C$17))-(Drivers!$C$22*12+Drivers!$C$32*12+Drivers!$C$33*12))-MAX(0,((((Drivers!$C$10*12*(1+-0.2)*(1-MIN(0.1,MAX(0,0*0.005))))*Drivers!$C$12)+((Drivers!$C$15*12*(1+-0.2)*(1-MIN(0.35,MAX(0,0*Drivers!$C$18))))*Drivers!$C$17))-(Drivers!$C$22*12+Drivers!$C$32*12+Drivers!$C$33*12))*Drivers!$C$34))</f>
        <v>-1202400</v>
      </c>
      <c r="D19" s="67">
        <f>(((((Drivers!$C$10*12*(1+-0.1)*(1-MIN(0.1,MAX(0,0*0.005))))*Drivers!$C$12)+((Drivers!$C$15*12*(1+-0.1)*(1-MIN(0.35,MAX(0,0*Drivers!$C$18))))*Drivers!$C$17))-(Drivers!$C$22*12+Drivers!$C$32*12+Drivers!$C$33*12))-MAX(0,((((Drivers!$C$10*12*(1+-0.1)*(1-MIN(0.1,MAX(0,0*0.005))))*Drivers!$C$12)+((Drivers!$C$15*12*(1+-0.1)*(1-MIN(0.35,MAX(0,0*Drivers!$C$18))))*Drivers!$C$17))-(Drivers!$C$22*12+Drivers!$C$32*12+Drivers!$C$33*12))*Drivers!$C$34))</f>
        <v>-355200</v>
      </c>
      <c r="E19" s="67">
        <f>(((((Drivers!$C$10*12*(1+0)*(1-MIN(0.1,MAX(0,0*0.005))))*Drivers!$C$12)+((Drivers!$C$15*12*(1+0)*(1-MIN(0.35,MAX(0,0*Drivers!$C$18))))*Drivers!$C$17))-(Drivers!$C$22*12+Drivers!$C$32*12+Drivers!$C$33*12))-MAX(0,((((Drivers!$C$10*12*(1+0)*(1-MIN(0.1,MAX(0,0*0.005))))*Drivers!$C$12)+((Drivers!$C$15*12*(1+0)*(1-MIN(0.35,MAX(0,0*Drivers!$C$18))))*Drivers!$C$17))-(Drivers!$C$22*12+Drivers!$C$32*12+Drivers!$C$33*12))*Drivers!$C$34))</f>
        <v>361620</v>
      </c>
      <c r="F19" s="67">
        <f>(((((Drivers!$C$10*12*(1+0.1)*(1-MIN(0.1,MAX(0,0*0.005))))*Drivers!$C$12)+((Drivers!$C$15*12*(1+0.1)*(1-MIN(0.35,MAX(0,0*Drivers!$C$18))))*Drivers!$C$17))-(Drivers!$C$22*12+Drivers!$C$32*12+Drivers!$C$33*12))-MAX(0,((((Drivers!$C$10*12*(1+0.1)*(1-MIN(0.1,MAX(0,0*0.005))))*Drivers!$C$12)+((Drivers!$C$15*12*(1+0.1)*(1-MIN(0.35,MAX(0,0*Drivers!$C$18))))*Drivers!$C$17))-(Drivers!$C$22*12+Drivers!$C$32*12+Drivers!$C$33*12))*Drivers!$C$34))</f>
        <v>984312.0000000014</v>
      </c>
      <c r="G19" s="67">
        <f>(((((Drivers!$C$10*12*(1+0.2)*(1-MIN(0.1,MAX(0,0*0.005))))*Drivers!$C$12)+((Drivers!$C$15*12*(1+0.2)*(1-MIN(0.35,MAX(0,0*Drivers!$C$18))))*Drivers!$C$17))-(Drivers!$C$22*12+Drivers!$C$32*12+Drivers!$C$33*12))-MAX(0,((((Drivers!$C$10*12*(1+0.2)*(1-MIN(0.1,MAX(0,0*0.005))))*Drivers!$C$12)+((Drivers!$C$15*12*(1+0.2)*(1-MIN(0.35,MAX(0,0*Drivers!$C$18))))*Drivers!$C$17))-(Drivers!$C$22*12+Drivers!$C$32*12+Drivers!$C$33*12))*Drivers!$C$34))</f>
        <v>1607004</v>
      </c>
      <c r="H19" s="67">
        <f>(((((Drivers!$C$10*12*(1+0.3)*(1-MIN(0.1,MAX(0,0*0.005))))*Drivers!$C$12)+((Drivers!$C$15*12*(1+0.3)*(1-MIN(0.35,MAX(0,0*Drivers!$C$18))))*Drivers!$C$17))-(Drivers!$C$22*12+Drivers!$C$32*12+Drivers!$C$33*12))-MAX(0,((((Drivers!$C$10*12*(1+0.3)*(1-MIN(0.1,MAX(0,0*0.005))))*Drivers!$C$12)+((Drivers!$C$15*12*(1+0.3)*(1-MIN(0.35,MAX(0,0*Drivers!$C$18))))*Drivers!$C$17))-(Drivers!$C$22*12+Drivers!$C$32*12+Drivers!$C$33*12))*Drivers!$C$34))</f>
        <v>2229696</v>
      </c>
    </row>
    <row r="20" spans="2:9" ht="19.5" customHeight="1" x14ac:dyDescent="0.25">
      <c r="B20" s="5" t="s">
        <v>218</v>
      </c>
      <c r="C20" s="67">
        <f>(((((Drivers!$C$10*12*(1+-0.2)*(1-MIN(0.1,MAX(0,2*0.005))))*Drivers!$C$12)+((Drivers!$C$15*12*(1+-0.2)*(1-MIN(0.35,MAX(0,2*Drivers!$C$18))))*Drivers!$C$17))-(Drivers!$C$22*12+Drivers!$C$32*12+Drivers!$C$33*12))-MAX(0,((((Drivers!$C$10*12*(1+-0.2)*(1-MIN(0.1,MAX(0,2*0.005))))*Drivers!$C$12)+((Drivers!$C$15*12*(1+-0.2)*(1-MIN(0.35,MAX(0,2*Drivers!$C$18))))*Drivers!$C$17))-(Drivers!$C$22*12+Drivers!$C$32*12+Drivers!$C$33*12))*Drivers!$C$34))</f>
        <v>-1470816</v>
      </c>
      <c r="D20" s="67">
        <f>(((((Drivers!$C$10*12*(1+-0.1)*(1-MIN(0.1,MAX(0,2*0.005))))*Drivers!$C$12)+((Drivers!$C$15*12*(1+-0.1)*(1-MIN(0.35,MAX(0,2*Drivers!$C$18))))*Drivers!$C$17))-(Drivers!$C$22*12+Drivers!$C$32*12+Drivers!$C$33*12))-MAX(0,((((Drivers!$C$10*12*(1+-0.1)*(1-MIN(0.1,MAX(0,2*0.005))))*Drivers!$C$12)+((Drivers!$C$15*12*(1+-0.1)*(1-MIN(0.35,MAX(0,2*Drivers!$C$18))))*Drivers!$C$17))-(Drivers!$C$22*12+Drivers!$C$32*12+Drivers!$C$33*12))*Drivers!$C$34))</f>
        <v>-657168</v>
      </c>
      <c r="E20" s="67">
        <f>(((((Drivers!$C$10*12*(1+0)*(1-MIN(0.1,MAX(0,2*0.005))))*Drivers!$C$12)+((Drivers!$C$15*12*(1+0)*(1-MIN(0.35,MAX(0,2*Drivers!$C$18))))*Drivers!$C$17))-(Drivers!$C$22*12+Drivers!$C$32*12+Drivers!$C$33*12))-MAX(0,((((Drivers!$C$10*12*(1+0)*(1-MIN(0.1,MAX(0,2*0.005))))*Drivers!$C$12)+((Drivers!$C$15*12*(1+0)*(1-MIN(0.35,MAX(0,2*Drivers!$C$18))))*Drivers!$C$17))-(Drivers!$C$22*12+Drivers!$C$32*12+Drivers!$C$33*12))*Drivers!$C$34))</f>
        <v>115012.79999999999</v>
      </c>
      <c r="F20" s="67">
        <f>(((((Drivers!$C$10*12*(1+0.1)*(1-MIN(0.1,MAX(0,2*0.005))))*Drivers!$C$12)+((Drivers!$C$15*12*(1+0.1)*(1-MIN(0.35,MAX(0,2*Drivers!$C$18))))*Drivers!$C$17))-(Drivers!$C$22*12+Drivers!$C$32*12+Drivers!$C$33*12))-MAX(0,((((Drivers!$C$10*12*(1+0.1)*(1-MIN(0.1,MAX(0,2*0.005))))*Drivers!$C$12)+((Drivers!$C$15*12*(1+0.1)*(1-MIN(0.35,MAX(0,2*Drivers!$C$18))))*Drivers!$C$17))-(Drivers!$C$22*12+Drivers!$C$32*12+Drivers!$C$33*12))*Drivers!$C$34))</f>
        <v>713044.08000000136</v>
      </c>
      <c r="G20" s="67">
        <f>(((((Drivers!$C$10*12*(1+0.2)*(1-MIN(0.1,MAX(0,2*0.005))))*Drivers!$C$12)+((Drivers!$C$15*12*(1+0.2)*(1-MIN(0.35,MAX(0,2*Drivers!$C$18))))*Drivers!$C$17))-(Drivers!$C$22*12+Drivers!$C$32*12+Drivers!$C$33*12))-MAX(0,((((Drivers!$C$10*12*(1+0.2)*(1-MIN(0.1,MAX(0,2*0.005))))*Drivers!$C$12)+((Drivers!$C$15*12*(1+0.2)*(1-MIN(0.35,MAX(0,2*Drivers!$C$18))))*Drivers!$C$17))-(Drivers!$C$22*12+Drivers!$C$32*12+Drivers!$C$33*12))*Drivers!$C$34))</f>
        <v>1311075.3599999999</v>
      </c>
      <c r="H20" s="67">
        <f>(((((Drivers!$C$10*12*(1+0.3)*(1-MIN(0.1,MAX(0,2*0.005))))*Drivers!$C$12)+((Drivers!$C$15*12*(1+0.3)*(1-MIN(0.35,MAX(0,2*Drivers!$C$18))))*Drivers!$C$17))-(Drivers!$C$22*12+Drivers!$C$32*12+Drivers!$C$33*12))-MAX(0,((((Drivers!$C$10*12*(1+0.3)*(1-MIN(0.1,MAX(0,2*0.005))))*Drivers!$C$12)+((Drivers!$C$15*12*(1+0.3)*(1-MIN(0.35,MAX(0,2*Drivers!$C$18))))*Drivers!$C$17))-(Drivers!$C$22*12+Drivers!$C$32*12+Drivers!$C$33*12))*Drivers!$C$34))</f>
        <v>1909106.6400000001</v>
      </c>
    </row>
    <row r="21" spans="2:9" ht="19.5" customHeight="1" x14ac:dyDescent="0.25">
      <c r="B21" s="5" t="s">
        <v>219</v>
      </c>
      <c r="C21" s="67">
        <f>(((((Drivers!$C$10*12*(1+-0.2)*(1-MIN(0.1,MAX(0,4*0.005))))*Drivers!$C$12)+((Drivers!$C$15*12*(1+-0.2)*(1-MIN(0.35,MAX(0,4*Drivers!$C$18))))*Drivers!$C$17))-(Drivers!$C$22*12+Drivers!$C$32*12+Drivers!$C$33*12))-MAX(0,((((Drivers!$C$10*12*(1+-0.2)*(1-MIN(0.1,MAX(0,4*0.005))))*Drivers!$C$12)+((Drivers!$C$15*12*(1+-0.2)*(1-MIN(0.35,MAX(0,4*Drivers!$C$18))))*Drivers!$C$17))-(Drivers!$C$22*12+Drivers!$C$32*12+Drivers!$C$33*12))*Drivers!$C$34))</f>
        <v>-1739232</v>
      </c>
      <c r="D21" s="67">
        <f>(((((Drivers!$C$10*12*(1+-0.1)*(1-MIN(0.1,MAX(0,4*0.005))))*Drivers!$C$12)+((Drivers!$C$15*12*(1+-0.1)*(1-MIN(0.35,MAX(0,4*Drivers!$C$18))))*Drivers!$C$17))-(Drivers!$C$22*12+Drivers!$C$32*12+Drivers!$C$33*12))-MAX(0,((((Drivers!$C$10*12*(1+-0.1)*(1-MIN(0.1,MAX(0,4*0.005))))*Drivers!$C$12)+((Drivers!$C$15*12*(1+-0.1)*(1-MIN(0.35,MAX(0,4*Drivers!$C$18))))*Drivers!$C$17))-(Drivers!$C$22*12+Drivers!$C$32*12+Drivers!$C$33*12))*Drivers!$C$34))</f>
        <v>-959136</v>
      </c>
      <c r="E21" s="67">
        <f>(((((Drivers!$C$10*12*(1+0)*(1-MIN(0.1,MAX(0,4*0.005))))*Drivers!$C$12)+((Drivers!$C$15*12*(1+0)*(1-MIN(0.35,MAX(0,4*Drivers!$C$18))))*Drivers!$C$17))-(Drivers!$C$22*12+Drivers!$C$32*12+Drivers!$C$33*12))-MAX(0,((((Drivers!$C$10*12*(1+0)*(1-MIN(0.1,MAX(0,4*0.005))))*Drivers!$C$12)+((Drivers!$C$15*12*(1+0)*(1-MIN(0.35,MAX(0,4*Drivers!$C$18))))*Drivers!$C$17))-(Drivers!$C$22*12+Drivers!$C$32*12+Drivers!$C$33*12))*Drivers!$C$34))</f>
        <v>-179040</v>
      </c>
      <c r="F21" s="67">
        <f>(((((Drivers!$C$10*12*(1+0.1)*(1-MIN(0.1,MAX(0,4*0.005))))*Drivers!$C$12)+((Drivers!$C$15*12*(1+0.1)*(1-MIN(0.35,MAX(0,4*Drivers!$C$18))))*Drivers!$C$17))-(Drivers!$C$22*12+Drivers!$C$32*12+Drivers!$C$33*12))-MAX(0,((((Drivers!$C$10*12*(1+0.1)*(1-MIN(0.1,MAX(0,4*0.005))))*Drivers!$C$12)+((Drivers!$C$15*12*(1+0.1)*(1-MIN(0.35,MAX(0,4*Drivers!$C$18))))*Drivers!$C$17))-(Drivers!$C$22*12+Drivers!$C$32*12+Drivers!$C$33*12))*Drivers!$C$34))</f>
        <v>441776.16000000137</v>
      </c>
      <c r="G21" s="67">
        <f>(((((Drivers!$C$10*12*(1+0.2)*(1-MIN(0.1,MAX(0,4*0.005))))*Drivers!$C$12)+((Drivers!$C$15*12*(1+0.2)*(1-MIN(0.35,MAX(0,4*Drivers!$C$18))))*Drivers!$C$17))-(Drivers!$C$22*12+Drivers!$C$32*12+Drivers!$C$33*12))-MAX(0,((((Drivers!$C$10*12*(1+0.2)*(1-MIN(0.1,MAX(0,4*0.005))))*Drivers!$C$12)+((Drivers!$C$15*12*(1+0.2)*(1-MIN(0.35,MAX(0,4*Drivers!$C$18))))*Drivers!$C$17))-(Drivers!$C$22*12+Drivers!$C$32*12+Drivers!$C$33*12))*Drivers!$C$34))</f>
        <v>1015146.72</v>
      </c>
      <c r="H21" s="67">
        <f>(((((Drivers!$C$10*12*(1+0.3)*(1-MIN(0.1,MAX(0,4*0.005))))*Drivers!$C$12)+((Drivers!$C$15*12*(1+0.3)*(1-MIN(0.35,MAX(0,4*Drivers!$C$18))))*Drivers!$C$17))-(Drivers!$C$22*12+Drivers!$C$32*12+Drivers!$C$33*12))-MAX(0,((((Drivers!$C$10*12*(1+0.3)*(1-MIN(0.1,MAX(0,4*0.005))))*Drivers!$C$12)+((Drivers!$C$15*12*(1+0.3)*(1-MIN(0.35,MAX(0,4*Drivers!$C$18))))*Drivers!$C$17))-(Drivers!$C$22*12+Drivers!$C$32*12+Drivers!$C$33*12))*Drivers!$C$34))</f>
        <v>1588517.28</v>
      </c>
    </row>
    <row r="22" spans="2:9" ht="19.5" customHeight="1" x14ac:dyDescent="0.25">
      <c r="B22" s="5" t="s">
        <v>220</v>
      </c>
      <c r="C22" s="67">
        <f>(((((Drivers!$C$10*12*(1+-0.2)*(1-MIN(0.1,MAX(0,6*0.005))))*Drivers!$C$12)+((Drivers!$C$15*12*(1+-0.2)*(1-MIN(0.35,MAX(0,6*Drivers!$C$18))))*Drivers!$C$17))-(Drivers!$C$22*12+Drivers!$C$32*12+Drivers!$C$33*12))-MAX(0,((((Drivers!$C$10*12*(1+-0.2)*(1-MIN(0.1,MAX(0,6*0.005))))*Drivers!$C$12)+((Drivers!$C$15*12*(1+-0.2)*(1-MIN(0.35,MAX(0,6*Drivers!$C$18))))*Drivers!$C$17))-(Drivers!$C$22*12+Drivers!$C$32*12+Drivers!$C$33*12))*Drivers!$C$34))</f>
        <v>-2007648</v>
      </c>
      <c r="D22" s="67">
        <f>(((((Drivers!$C$10*12*(1+-0.1)*(1-MIN(0.1,MAX(0,6*0.005))))*Drivers!$C$12)+((Drivers!$C$15*12*(1+-0.1)*(1-MIN(0.35,MAX(0,6*Drivers!$C$18))))*Drivers!$C$17))-(Drivers!$C$22*12+Drivers!$C$32*12+Drivers!$C$33*12))-MAX(0,((((Drivers!$C$10*12*(1+-0.1)*(1-MIN(0.1,MAX(0,6*0.005))))*Drivers!$C$12)+((Drivers!$C$15*12*(1+-0.1)*(1-MIN(0.35,MAX(0,6*Drivers!$C$18))))*Drivers!$C$17))-(Drivers!$C$22*12+Drivers!$C$32*12+Drivers!$C$33*12))*Drivers!$C$34))</f>
        <v>-1261104</v>
      </c>
      <c r="E22" s="67">
        <f>(((((Drivers!$C$10*12*(1+0)*(1-MIN(0.1,MAX(0,6*0.005))))*Drivers!$C$12)+((Drivers!$C$15*12*(1+0)*(1-MIN(0.35,MAX(0,6*Drivers!$C$18))))*Drivers!$C$17))-(Drivers!$C$22*12+Drivers!$C$32*12+Drivers!$C$33*12))-MAX(0,((((Drivers!$C$10*12*(1+0)*(1-MIN(0.1,MAX(0,6*0.005))))*Drivers!$C$12)+((Drivers!$C$15*12*(1+0)*(1-MIN(0.35,MAX(0,6*Drivers!$C$18))))*Drivers!$C$17))-(Drivers!$C$22*12+Drivers!$C$32*12+Drivers!$C$33*12))*Drivers!$C$34))</f>
        <v>-514560</v>
      </c>
      <c r="F22" s="67">
        <f>(((((Drivers!$C$10*12*(1+0.1)*(1-MIN(0.1,MAX(0,6*0.005))))*Drivers!$C$12)+((Drivers!$C$15*12*(1+0.1)*(1-MIN(0.35,MAX(0,6*Drivers!$C$18))))*Drivers!$C$17))-(Drivers!$C$22*12+Drivers!$C$32*12+Drivers!$C$33*12))-MAX(0,((((Drivers!$C$10*12*(1+0.1)*(1-MIN(0.1,MAX(0,6*0.005))))*Drivers!$C$12)+((Drivers!$C$15*12*(1+0.1)*(1-MIN(0.35,MAX(0,6*Drivers!$C$18))))*Drivers!$C$17))-(Drivers!$C$22*12+Drivers!$C$32*12+Drivers!$C$33*12))*Drivers!$C$34))</f>
        <v>170508.24000000136</v>
      </c>
      <c r="G22" s="67">
        <f>(((((Drivers!$C$10*12*(1+0.2)*(1-MIN(0.1,MAX(0,6*0.005))))*Drivers!$C$12)+((Drivers!$C$15*12*(1+0.2)*(1-MIN(0.35,MAX(0,6*Drivers!$C$18))))*Drivers!$C$17))-(Drivers!$C$22*12+Drivers!$C$32*12+Drivers!$C$33*12))-MAX(0,((((Drivers!$C$10*12*(1+0.2)*(1-MIN(0.1,MAX(0,6*0.005))))*Drivers!$C$12)+((Drivers!$C$15*12*(1+0.2)*(1-MIN(0.35,MAX(0,6*Drivers!$C$18))))*Drivers!$C$17))-(Drivers!$C$22*12+Drivers!$C$32*12+Drivers!$C$33*12))*Drivers!$C$34))</f>
        <v>719218.08</v>
      </c>
      <c r="H22" s="67">
        <f>(((((Drivers!$C$10*12*(1+0.3)*(1-MIN(0.1,MAX(0,6*0.005))))*Drivers!$C$12)+((Drivers!$C$15*12*(1+0.3)*(1-MIN(0.35,MAX(0,6*Drivers!$C$18))))*Drivers!$C$17))-(Drivers!$C$22*12+Drivers!$C$32*12+Drivers!$C$33*12))-MAX(0,((((Drivers!$C$10*12*(1+0.3)*(1-MIN(0.1,MAX(0,6*0.005))))*Drivers!$C$12)+((Drivers!$C$15*12*(1+0.3)*(1-MIN(0.35,MAX(0,6*Drivers!$C$18))))*Drivers!$C$17))-(Drivers!$C$22*12+Drivers!$C$32*12+Drivers!$C$33*12))*Drivers!$C$34))</f>
        <v>1267927.92</v>
      </c>
    </row>
    <row r="23" spans="2:9" ht="19.5" customHeight="1" x14ac:dyDescent="0.25">
      <c r="B23" s="5" t="s">
        <v>221</v>
      </c>
      <c r="C23" s="67">
        <f>(((((Drivers!$C$10*12*(1+-0.2)*(1-MIN(0.1,MAX(0,8*0.005))))*Drivers!$C$12)+((Drivers!$C$15*12*(1+-0.2)*(1-MIN(0.35,MAX(0,8*Drivers!$C$18))))*Drivers!$C$17))-(Drivers!$C$22*12+Drivers!$C$32*12+Drivers!$C$33*12))-MAX(0,((((Drivers!$C$10*12*(1+-0.2)*(1-MIN(0.1,MAX(0,8*0.005))))*Drivers!$C$12)+((Drivers!$C$15*12*(1+-0.2)*(1-MIN(0.35,MAX(0,8*Drivers!$C$18))))*Drivers!$C$17))-(Drivers!$C$22*12+Drivers!$C$32*12+Drivers!$C$33*12))*Drivers!$C$34))</f>
        <v>-2276064</v>
      </c>
      <c r="D23" s="67">
        <f>(((((Drivers!$C$10*12*(1+-0.1)*(1-MIN(0.1,MAX(0,8*0.005))))*Drivers!$C$12)+((Drivers!$C$15*12*(1+-0.1)*(1-MIN(0.35,MAX(0,8*Drivers!$C$18))))*Drivers!$C$17))-(Drivers!$C$22*12+Drivers!$C$32*12+Drivers!$C$33*12))-MAX(0,((((Drivers!$C$10*12*(1+-0.1)*(1-MIN(0.1,MAX(0,8*0.005))))*Drivers!$C$12)+((Drivers!$C$15*12*(1+-0.1)*(1-MIN(0.35,MAX(0,8*Drivers!$C$18))))*Drivers!$C$17))-(Drivers!$C$22*12+Drivers!$C$32*12+Drivers!$C$33*12))*Drivers!$C$34))</f>
        <v>-1563072</v>
      </c>
      <c r="E23" s="67">
        <f>(((((Drivers!$C$10*12*(1+0)*(1-MIN(0.1,MAX(0,8*0.005))))*Drivers!$C$12)+((Drivers!$C$15*12*(1+0)*(1-MIN(0.35,MAX(0,8*Drivers!$C$18))))*Drivers!$C$17))-(Drivers!$C$22*12+Drivers!$C$32*12+Drivers!$C$33*12))-MAX(0,((((Drivers!$C$10*12*(1+0)*(1-MIN(0.1,MAX(0,8*0.005))))*Drivers!$C$12)+((Drivers!$C$15*12*(1+0)*(1-MIN(0.35,MAX(0,8*Drivers!$C$18))))*Drivers!$C$17))-(Drivers!$C$22*12+Drivers!$C$32*12+Drivers!$C$33*12))*Drivers!$C$34))</f>
        <v>-850080</v>
      </c>
      <c r="F23" s="67">
        <f>(((((Drivers!$C$10*12*(1+0.1)*(1-MIN(0.1,MAX(0,8*0.005))))*Drivers!$C$12)+((Drivers!$C$15*12*(1+0.1)*(1-MIN(0.35,MAX(0,8*Drivers!$C$18))))*Drivers!$C$17))-(Drivers!$C$22*12+Drivers!$C$32*12+Drivers!$C$33*12))-MAX(0,((((Drivers!$C$10*12*(1+0.1)*(1-MIN(0.1,MAX(0,8*0.005))))*Drivers!$C$12)+((Drivers!$C$15*12*(1+0.1)*(1-MIN(0.35,MAX(0,8*Drivers!$C$18))))*Drivers!$C$17))-(Drivers!$C$22*12+Drivers!$C$32*12+Drivers!$C$33*12))*Drivers!$C$34))</f>
        <v>-137087.99999999814</v>
      </c>
      <c r="G23" s="67">
        <f>(((((Drivers!$C$10*12*(1+0.2)*(1-MIN(0.1,MAX(0,8*0.005))))*Drivers!$C$12)+((Drivers!$C$15*12*(1+0.2)*(1-MIN(0.35,MAX(0,8*Drivers!$C$18))))*Drivers!$C$17))-(Drivers!$C$22*12+Drivers!$C$32*12+Drivers!$C$33*12))-MAX(0,((((Drivers!$C$10*12*(1+0.2)*(1-MIN(0.1,MAX(0,8*0.005))))*Drivers!$C$12)+((Drivers!$C$15*12*(1+0.2)*(1-MIN(0.35,MAX(0,8*Drivers!$C$18))))*Drivers!$C$17))-(Drivers!$C$22*12+Drivers!$C$32*12+Drivers!$C$33*12))*Drivers!$C$34))</f>
        <v>423289.44</v>
      </c>
      <c r="H23" s="67">
        <f>(((((Drivers!$C$10*12*(1+0.3)*(1-MIN(0.1,MAX(0,8*0.005))))*Drivers!$C$12)+((Drivers!$C$15*12*(1+0.3)*(1-MIN(0.35,MAX(0,8*Drivers!$C$18))))*Drivers!$C$17))-(Drivers!$C$22*12+Drivers!$C$32*12+Drivers!$C$33*12))-MAX(0,((((Drivers!$C$10*12*(1+0.3)*(1-MIN(0.1,MAX(0,8*0.005))))*Drivers!$C$12)+((Drivers!$C$15*12*(1+0.3)*(1-MIN(0.35,MAX(0,8*Drivers!$C$18))))*Drivers!$C$17))-(Drivers!$C$22*12+Drivers!$C$32*12+Drivers!$C$33*12))*Drivers!$C$34))</f>
        <v>947338.56</v>
      </c>
    </row>
    <row r="26" spans="2:9" ht="21.75" customHeight="1" x14ac:dyDescent="0.25">
      <c r="B26" s="88" t="s">
        <v>223</v>
      </c>
      <c r="C26" s="88"/>
      <c r="D26" s="88"/>
      <c r="E26" s="88"/>
      <c r="F26" s="88"/>
      <c r="G26" s="88"/>
      <c r="H26" s="88"/>
      <c r="I26" s="88"/>
    </row>
    <row r="27" spans="2:9" ht="27.75" customHeight="1" x14ac:dyDescent="0.25">
      <c r="B27" s="66" t="s">
        <v>209</v>
      </c>
      <c r="C27" s="5" t="s">
        <v>210</v>
      </c>
      <c r="D27" s="5" t="s">
        <v>211</v>
      </c>
      <c r="E27" s="5" t="s">
        <v>212</v>
      </c>
      <c r="F27" s="5" t="s">
        <v>213</v>
      </c>
      <c r="G27" s="5" t="s">
        <v>214</v>
      </c>
      <c r="H27" s="5" t="s">
        <v>215</v>
      </c>
    </row>
    <row r="28" spans="2:9" ht="19.5" customHeight="1" x14ac:dyDescent="0.25">
      <c r="B28" s="5" t="s">
        <v>216</v>
      </c>
      <c r="C28" s="67">
        <f>(((((Drivers!$C$10*12*(1+-0.2)*(1-MIN(0.1,MAX(0,-2*0.005))))*Drivers!$C$12)+((Drivers!$C$15*12*(1+-0.2)*(1-MIN(0.35,MAX(0,-2*Drivers!$C$18))))*Drivers!$C$17))-(Drivers!$C$22*12+Drivers!$C$32*12+Drivers!$C$33*12))-MAX(0,((((Drivers!$C$10*12*(1+-0.2)*(1-MIN(0.1,MAX(0,-2*0.005))))*Drivers!$C$12)+((Drivers!$C$15*12*(1+-0.2)*(1-MIN(0.35,MAX(0,-2*Drivers!$C$18))))*Drivers!$C$17))-(Drivers!$C$22*12+Drivers!$C$32*12+Drivers!$C$33*12))*Drivers!$C$34))-(((Drivers!$C$10*12*(1+-0.2)*(1-MIN(0.1,MAX(0,-2*0.005))))+(Drivers!$C$15*12*(1+-0.2)*(1-MIN(0.35,MAX(0,-2*Drivers!$C$18)))))*Drivers!$C$27/365 - Drivers!$C$10*12*Drivers!$C$27/365)</f>
        <v>-2468153.4246575343</v>
      </c>
      <c r="D28" s="67">
        <f>(((((Drivers!$C$10*12*(1+-0.1)*(1-MIN(0.1,MAX(0,-2*0.005))))*Drivers!$C$12)+((Drivers!$C$15*12*(1+-0.1)*(1-MIN(0.35,MAX(0,-2*Drivers!$C$18))))*Drivers!$C$17))-(Drivers!$C$22*12+Drivers!$C$32*12+Drivers!$C$33*12))-MAX(0,((((Drivers!$C$10*12*(1+-0.1)*(1-MIN(0.1,MAX(0,-2*0.005))))*Drivers!$C$12)+((Drivers!$C$15*12*(1+-0.1)*(1-MIN(0.35,MAX(0,-2*Drivers!$C$18))))*Drivers!$C$17))-(Drivers!$C$22*12+Drivers!$C$32*12+Drivers!$C$33*12))*Drivers!$C$34))-(((Drivers!$C$10*12*(1+-0.1)*(1-MIN(0.1,MAX(0,-2*0.005))))+(Drivers!$C$15*12*(1+-0.1)*(1-MIN(0.35,MAX(0,-2*Drivers!$C$18)))))*Drivers!$C$27/365 - Drivers!$C$10*12*Drivers!$C$27/365)</f>
        <v>-1982597.2602739725</v>
      </c>
      <c r="E28" s="67">
        <f>(((((Drivers!$C$10*12*(1+0)*(1-MIN(0.1,MAX(0,-2*0.005))))*Drivers!$C$12)+((Drivers!$C$15*12*(1+0)*(1-MIN(0.35,MAX(0,-2*Drivers!$C$18))))*Drivers!$C$17))-(Drivers!$C$22*12+Drivers!$C$32*12+Drivers!$C$33*12))-MAX(0,((((Drivers!$C$10*12*(1+0)*(1-MIN(0.1,MAX(0,-2*0.005))))*Drivers!$C$12)+((Drivers!$C$15*12*(1+0)*(1-MIN(0.35,MAX(0,-2*Drivers!$C$18))))*Drivers!$C$17))-(Drivers!$C$22*12+Drivers!$C$32*12+Drivers!$C$33*12))*Drivers!$C$34))-(((Drivers!$C$10*12*(1+0)*(1-MIN(0.1,MAX(0,-2*0.005))))+(Drivers!$C$15*12*(1+0)*(1-MIN(0.35,MAX(0,-2*Drivers!$C$18)))))*Drivers!$C$27/365 - Drivers!$C$10*12*Drivers!$C$27/365)</f>
        <v>-1627421.0958904112</v>
      </c>
      <c r="F28" s="67">
        <f>(((((Drivers!$C$10*12*(1+0.1)*(1-MIN(0.1,MAX(0,-2*0.005))))*Drivers!$C$12)+((Drivers!$C$15*12*(1+0.1)*(1-MIN(0.35,MAX(0,-2*Drivers!$C$18))))*Drivers!$C$17))-(Drivers!$C$22*12+Drivers!$C$32*12+Drivers!$C$33*12))-MAX(0,((((Drivers!$C$10*12*(1+0.1)*(1-MIN(0.1,MAX(0,-2*0.005))))*Drivers!$C$12)+((Drivers!$C$15*12*(1+0.1)*(1-MIN(0.35,MAX(0,-2*Drivers!$C$18))))*Drivers!$C$17))-(Drivers!$C$22*12+Drivers!$C$32*12+Drivers!$C$33*12))*Drivers!$C$34))-(((Drivers!$C$10*12*(1+0.1)*(1-MIN(0.1,MAX(0,-2*0.005))))+(Drivers!$C$15*12*(1+0.1)*(1-MIN(0.35,MAX(0,-2*Drivers!$C$18)))))*Drivers!$C$27/365 - Drivers!$C$10*12*Drivers!$C$27/365)</f>
        <v>-1366372.9315068484</v>
      </c>
      <c r="G28" s="67">
        <f>(((((Drivers!$C$10*12*(1+0.2)*(1-MIN(0.1,MAX(0,-2*0.005))))*Drivers!$C$12)+((Drivers!$C$15*12*(1+0.2)*(1-MIN(0.35,MAX(0,-2*Drivers!$C$18))))*Drivers!$C$17))-(Drivers!$C$22*12+Drivers!$C$32*12+Drivers!$C$33*12))-MAX(0,((((Drivers!$C$10*12*(1+0.2)*(1-MIN(0.1,MAX(0,-2*0.005))))*Drivers!$C$12)+((Drivers!$C$15*12*(1+0.2)*(1-MIN(0.35,MAX(0,-2*Drivers!$C$18))))*Drivers!$C$17))-(Drivers!$C$22*12+Drivers!$C$32*12+Drivers!$C$33*12))*Drivers!$C$34))-(((Drivers!$C$10*12*(1+0.2)*(1-MIN(0.1,MAX(0,-2*0.005))))+(Drivers!$C$15*12*(1+0.2)*(1-MIN(0.35,MAX(0,-2*Drivers!$C$18)))))*Drivers!$C$27/365 - Drivers!$C$10*12*Drivers!$C$27/365)</f>
        <v>-1105324.7671232875</v>
      </c>
      <c r="H28" s="67">
        <f>(((((Drivers!$C$10*12*(1+0.3)*(1-MIN(0.1,MAX(0,-2*0.005))))*Drivers!$C$12)+((Drivers!$C$15*12*(1+0.3)*(1-MIN(0.35,MAX(0,-2*Drivers!$C$18))))*Drivers!$C$17))-(Drivers!$C$22*12+Drivers!$C$32*12+Drivers!$C$33*12))-MAX(0,((((Drivers!$C$10*12*(1+0.3)*(1-MIN(0.1,MAX(0,-2*0.005))))*Drivers!$C$12)+((Drivers!$C$15*12*(1+0.3)*(1-MIN(0.35,MAX(0,-2*Drivers!$C$18))))*Drivers!$C$17))-(Drivers!$C$22*12+Drivers!$C$32*12+Drivers!$C$33*12))*Drivers!$C$34))-(((Drivers!$C$10*12*(1+0.3)*(1-MIN(0.1,MAX(0,-2*0.005))))+(Drivers!$C$15*12*(1+0.3)*(1-MIN(0.35,MAX(0,-2*Drivers!$C$18)))))*Drivers!$C$27/365 - Drivers!$C$10*12*Drivers!$C$27/365)</f>
        <v>-844276.60273972619</v>
      </c>
    </row>
    <row r="29" spans="2:9" ht="19.5" customHeight="1" x14ac:dyDescent="0.25">
      <c r="B29" s="5" t="s">
        <v>217</v>
      </c>
      <c r="C29" s="67">
        <f>(((((Drivers!$C$10*12*(1+-0.2)*(1-MIN(0.1,MAX(0,0*0.005))))*Drivers!$C$12)+((Drivers!$C$15*12*(1+-0.2)*(1-MIN(0.35,MAX(0,0*Drivers!$C$18))))*Drivers!$C$17))-(Drivers!$C$22*12+Drivers!$C$32*12+Drivers!$C$33*12))-MAX(0,((((Drivers!$C$10*12*(1+-0.2)*(1-MIN(0.1,MAX(0,0*0.005))))*Drivers!$C$12)+((Drivers!$C$15*12*(1+-0.2)*(1-MIN(0.35,MAX(0,0*Drivers!$C$18))))*Drivers!$C$17))-(Drivers!$C$22*12+Drivers!$C$32*12+Drivers!$C$33*12))*Drivers!$C$34))-(((Drivers!$C$10*12*(1+-0.2)*(1-MIN(0.1,MAX(0,0*0.005))))+(Drivers!$C$15*12*(1+-0.2)*(1-MIN(0.35,MAX(0,0*Drivers!$C$18)))))*Drivers!$C$27/365 - Drivers!$C$10*12*Drivers!$C$27/365)</f>
        <v>-2468153.4246575343</v>
      </c>
      <c r="D29" s="67">
        <f>(((((Drivers!$C$10*12*(1+-0.1)*(1-MIN(0.1,MAX(0,0*0.005))))*Drivers!$C$12)+((Drivers!$C$15*12*(1+-0.1)*(1-MIN(0.35,MAX(0,0*Drivers!$C$18))))*Drivers!$C$17))-(Drivers!$C$22*12+Drivers!$C$32*12+Drivers!$C$33*12))-MAX(0,((((Drivers!$C$10*12*(1+-0.1)*(1-MIN(0.1,MAX(0,0*0.005))))*Drivers!$C$12)+((Drivers!$C$15*12*(1+-0.1)*(1-MIN(0.35,MAX(0,0*Drivers!$C$18))))*Drivers!$C$17))-(Drivers!$C$22*12+Drivers!$C$32*12+Drivers!$C$33*12))*Drivers!$C$34))-(((Drivers!$C$10*12*(1+-0.1)*(1-MIN(0.1,MAX(0,0*0.005))))+(Drivers!$C$15*12*(1+-0.1)*(1-MIN(0.35,MAX(0,0*Drivers!$C$18)))))*Drivers!$C$27/365 - Drivers!$C$10*12*Drivers!$C$27/365)</f>
        <v>-1982597.2602739725</v>
      </c>
      <c r="E29" s="67">
        <f>(((((Drivers!$C$10*12*(1+0)*(1-MIN(0.1,MAX(0,0*0.005))))*Drivers!$C$12)+((Drivers!$C$15*12*(1+0)*(1-MIN(0.35,MAX(0,0*Drivers!$C$18))))*Drivers!$C$17))-(Drivers!$C$22*12+Drivers!$C$32*12+Drivers!$C$33*12))-MAX(0,((((Drivers!$C$10*12*(1+0)*(1-MIN(0.1,MAX(0,0*0.005))))*Drivers!$C$12)+((Drivers!$C$15*12*(1+0)*(1-MIN(0.35,MAX(0,0*Drivers!$C$18))))*Drivers!$C$17))-(Drivers!$C$22*12+Drivers!$C$32*12+Drivers!$C$33*12))*Drivers!$C$34))-(((Drivers!$C$10*12*(1+0)*(1-MIN(0.1,MAX(0,0*0.005))))+(Drivers!$C$15*12*(1+0)*(1-MIN(0.35,MAX(0,0*Drivers!$C$18)))))*Drivers!$C$27/365 - Drivers!$C$10*12*Drivers!$C$27/365)</f>
        <v>-1627421.0958904112</v>
      </c>
      <c r="F29" s="67">
        <f>(((((Drivers!$C$10*12*(1+0.1)*(1-MIN(0.1,MAX(0,0*0.005))))*Drivers!$C$12)+((Drivers!$C$15*12*(1+0.1)*(1-MIN(0.35,MAX(0,0*Drivers!$C$18))))*Drivers!$C$17))-(Drivers!$C$22*12+Drivers!$C$32*12+Drivers!$C$33*12))-MAX(0,((((Drivers!$C$10*12*(1+0.1)*(1-MIN(0.1,MAX(0,0*0.005))))*Drivers!$C$12)+((Drivers!$C$15*12*(1+0.1)*(1-MIN(0.35,MAX(0,0*Drivers!$C$18))))*Drivers!$C$17))-(Drivers!$C$22*12+Drivers!$C$32*12+Drivers!$C$33*12))*Drivers!$C$34))-(((Drivers!$C$10*12*(1+0.1)*(1-MIN(0.1,MAX(0,0*0.005))))+(Drivers!$C$15*12*(1+0.1)*(1-MIN(0.35,MAX(0,0*Drivers!$C$18)))))*Drivers!$C$27/365 - Drivers!$C$10*12*Drivers!$C$27/365)</f>
        <v>-1366372.9315068484</v>
      </c>
      <c r="G29" s="67">
        <f>(((((Drivers!$C$10*12*(1+0.2)*(1-MIN(0.1,MAX(0,0*0.005))))*Drivers!$C$12)+((Drivers!$C$15*12*(1+0.2)*(1-MIN(0.35,MAX(0,0*Drivers!$C$18))))*Drivers!$C$17))-(Drivers!$C$22*12+Drivers!$C$32*12+Drivers!$C$33*12))-MAX(0,((((Drivers!$C$10*12*(1+0.2)*(1-MIN(0.1,MAX(0,0*0.005))))*Drivers!$C$12)+((Drivers!$C$15*12*(1+0.2)*(1-MIN(0.35,MAX(0,0*Drivers!$C$18))))*Drivers!$C$17))-(Drivers!$C$22*12+Drivers!$C$32*12+Drivers!$C$33*12))*Drivers!$C$34))-(((Drivers!$C$10*12*(1+0.2)*(1-MIN(0.1,MAX(0,0*0.005))))+(Drivers!$C$15*12*(1+0.2)*(1-MIN(0.35,MAX(0,0*Drivers!$C$18)))))*Drivers!$C$27/365 - Drivers!$C$10*12*Drivers!$C$27/365)</f>
        <v>-1105324.7671232875</v>
      </c>
      <c r="H29" s="67">
        <f>(((((Drivers!$C$10*12*(1+0.3)*(1-MIN(0.1,MAX(0,0*0.005))))*Drivers!$C$12)+((Drivers!$C$15*12*(1+0.3)*(1-MIN(0.35,MAX(0,0*Drivers!$C$18))))*Drivers!$C$17))-(Drivers!$C$22*12+Drivers!$C$32*12+Drivers!$C$33*12))-MAX(0,((((Drivers!$C$10*12*(1+0.3)*(1-MIN(0.1,MAX(0,0*0.005))))*Drivers!$C$12)+((Drivers!$C$15*12*(1+0.3)*(1-MIN(0.35,MAX(0,0*Drivers!$C$18))))*Drivers!$C$17))-(Drivers!$C$22*12+Drivers!$C$32*12+Drivers!$C$33*12))*Drivers!$C$34))-(((Drivers!$C$10*12*(1+0.3)*(1-MIN(0.1,MAX(0,0*0.005))))+(Drivers!$C$15*12*(1+0.3)*(1-MIN(0.35,MAX(0,0*Drivers!$C$18)))))*Drivers!$C$27/365 - Drivers!$C$10*12*Drivers!$C$27/365)</f>
        <v>-844276.60273972619</v>
      </c>
    </row>
    <row r="30" spans="2:9" ht="19.5" customHeight="1" x14ac:dyDescent="0.25">
      <c r="B30" s="5" t="s">
        <v>218</v>
      </c>
      <c r="C30" s="67">
        <f>(((((Drivers!$C$10*12*(1+-0.2)*(1-MIN(0.1,MAX(0,2*0.005))))*Drivers!$C$12)+((Drivers!$C$15*12*(1+-0.2)*(1-MIN(0.35,MAX(0,2*Drivers!$C$18))))*Drivers!$C$17))-(Drivers!$C$22*12+Drivers!$C$32*12+Drivers!$C$33*12))-MAX(0,((((Drivers!$C$10*12*(1+-0.2)*(1-MIN(0.1,MAX(0,2*0.005))))*Drivers!$C$12)+((Drivers!$C$15*12*(1+-0.2)*(1-MIN(0.35,MAX(0,2*Drivers!$C$18))))*Drivers!$C$17))-(Drivers!$C$22*12+Drivers!$C$32*12+Drivers!$C$33*12))*Drivers!$C$34))-(((Drivers!$C$10*12*(1+-0.2)*(1-MIN(0.1,MAX(0,2*0.005))))+(Drivers!$C$15*12*(1+-0.2)*(1-MIN(0.35,MAX(0,2*Drivers!$C$18)))))*Drivers!$C$27/365 - Drivers!$C$10*12*Drivers!$C$27/365)</f>
        <v>-2628076.273972603</v>
      </c>
      <c r="D30" s="67">
        <f>(((((Drivers!$C$10*12*(1+-0.1)*(1-MIN(0.1,MAX(0,2*0.005))))*Drivers!$C$12)+((Drivers!$C$15*12*(1+-0.1)*(1-MIN(0.35,MAX(0,2*Drivers!$C$18))))*Drivers!$C$17))-(Drivers!$C$22*12+Drivers!$C$32*12+Drivers!$C$33*12))-MAX(0,((((Drivers!$C$10*12*(1+-0.1)*(1-MIN(0.1,MAX(0,2*0.005))))*Drivers!$C$12)+((Drivers!$C$15*12*(1+-0.1)*(1-MIN(0.35,MAX(0,2*Drivers!$C$18))))*Drivers!$C$17))-(Drivers!$C$22*12+Drivers!$C$32*12+Drivers!$C$33*12))*Drivers!$C$34))-(((Drivers!$C$10*12*(1+-0.1)*(1-MIN(0.1,MAX(0,2*0.005))))+(Drivers!$C$15*12*(1+-0.1)*(1-MIN(0.35,MAX(0,2*Drivers!$C$18)))))*Drivers!$C$27/365 - Drivers!$C$10*12*Drivers!$C$27/365)</f>
        <v>-2162510.4657534249</v>
      </c>
      <c r="E30" s="67">
        <f>(((((Drivers!$C$10*12*(1+0)*(1-MIN(0.1,MAX(0,2*0.005))))*Drivers!$C$12)+((Drivers!$C$15*12*(1+0)*(1-MIN(0.35,MAX(0,2*Drivers!$C$18))))*Drivers!$C$17))-(Drivers!$C$22*12+Drivers!$C$32*12+Drivers!$C$33*12))-MAX(0,((((Drivers!$C$10*12*(1+0)*(1-MIN(0.1,MAX(0,2*0.005))))*Drivers!$C$12)+((Drivers!$C$15*12*(1+0)*(1-MIN(0.35,MAX(0,2*Drivers!$C$18))))*Drivers!$C$17))-(Drivers!$C$22*12+Drivers!$C$32*12+Drivers!$C$33*12))*Drivers!$C$34))-(((Drivers!$C$10*12*(1+0)*(1-MIN(0.1,MAX(0,2*0.005))))+(Drivers!$C$15*12*(1+0)*(1-MIN(0.35,MAX(0,2*Drivers!$C$18)))))*Drivers!$C$27/365 - Drivers!$C$10*12*Drivers!$C$27/365)</f>
        <v>-1738411.8575342468</v>
      </c>
      <c r="F30" s="67">
        <f>(((((Drivers!$C$10*12*(1+0.1)*(1-MIN(0.1,MAX(0,2*0.005))))*Drivers!$C$12)+((Drivers!$C$15*12*(1+0.1)*(1-MIN(0.35,MAX(0,2*Drivers!$C$18))))*Drivers!$C$17))-(Drivers!$C$22*12+Drivers!$C$32*12+Drivers!$C$33*12))-MAX(0,((((Drivers!$C$10*12*(1+0.1)*(1-MIN(0.1,MAX(0,2*0.005))))*Drivers!$C$12)+((Drivers!$C$15*12*(1+0.1)*(1-MIN(0.35,MAX(0,2*Drivers!$C$18))))*Drivers!$C$17))-(Drivers!$C$22*12+Drivers!$C$32*12+Drivers!$C$33*12))*Drivers!$C$34))-(((Drivers!$C$10*12*(1+0.1)*(1-MIN(0.1,MAX(0,2*0.005))))+(Drivers!$C$15*12*(1+0.1)*(1-MIN(0.35,MAX(0,2*Drivers!$C$18)))))*Drivers!$C$27/365 - Drivers!$C$10*12*Drivers!$C$27/365)</f>
        <v>-1488462.7693150677</v>
      </c>
      <c r="G30" s="67">
        <f>(((((Drivers!$C$10*12*(1+0.2)*(1-MIN(0.1,MAX(0,2*0.005))))*Drivers!$C$12)+((Drivers!$C$15*12*(1+0.2)*(1-MIN(0.35,MAX(0,2*Drivers!$C$18))))*Drivers!$C$17))-(Drivers!$C$22*12+Drivers!$C$32*12+Drivers!$C$33*12))-MAX(0,((((Drivers!$C$10*12*(1+0.2)*(1-MIN(0.1,MAX(0,2*0.005))))*Drivers!$C$12)+((Drivers!$C$15*12*(1+0.2)*(1-MIN(0.35,MAX(0,2*Drivers!$C$18))))*Drivers!$C$17))-(Drivers!$C$22*12+Drivers!$C$32*12+Drivers!$C$33*12))*Drivers!$C$34))-(((Drivers!$C$10*12*(1+0.2)*(1-MIN(0.1,MAX(0,2*0.005))))+(Drivers!$C$15*12*(1+0.2)*(1-MIN(0.35,MAX(0,2*Drivers!$C$18)))))*Drivers!$C$27/365 - Drivers!$C$10*12*Drivers!$C$27/365)</f>
        <v>-1238513.6810958907</v>
      </c>
      <c r="H30" s="67">
        <f>(((((Drivers!$C$10*12*(1+0.3)*(1-MIN(0.1,MAX(0,2*0.005))))*Drivers!$C$12)+((Drivers!$C$15*12*(1+0.3)*(1-MIN(0.35,MAX(0,2*Drivers!$C$18))))*Drivers!$C$17))-(Drivers!$C$22*12+Drivers!$C$32*12+Drivers!$C$33*12))-MAX(0,((((Drivers!$C$10*12*(1+0.3)*(1-MIN(0.1,MAX(0,2*0.005))))*Drivers!$C$12)+((Drivers!$C$15*12*(1+0.3)*(1-MIN(0.35,MAX(0,2*Drivers!$C$18))))*Drivers!$C$17))-(Drivers!$C$22*12+Drivers!$C$32*12+Drivers!$C$33*12))*Drivers!$C$34))-(((Drivers!$C$10*12*(1+0.3)*(1-MIN(0.1,MAX(0,2*0.005))))+(Drivers!$C$15*12*(1+0.3)*(1-MIN(0.35,MAX(0,2*Drivers!$C$18)))))*Drivers!$C$27/365 - Drivers!$C$10*12*Drivers!$C$27/365)</f>
        <v>-988564.59287671233</v>
      </c>
    </row>
    <row r="31" spans="2:9" ht="19.5" customHeight="1" x14ac:dyDescent="0.25">
      <c r="B31" s="5" t="s">
        <v>219</v>
      </c>
      <c r="C31" s="67">
        <f>(((((Drivers!$C$10*12*(1+-0.2)*(1-MIN(0.1,MAX(0,4*0.005))))*Drivers!$C$12)+((Drivers!$C$15*12*(1+-0.2)*(1-MIN(0.35,MAX(0,4*Drivers!$C$18))))*Drivers!$C$17))-(Drivers!$C$22*12+Drivers!$C$32*12+Drivers!$C$33*12))-MAX(0,((((Drivers!$C$10*12*(1+-0.2)*(1-MIN(0.1,MAX(0,4*0.005))))*Drivers!$C$12)+((Drivers!$C$15*12*(1+-0.2)*(1-MIN(0.35,MAX(0,4*Drivers!$C$18))))*Drivers!$C$17))-(Drivers!$C$22*12+Drivers!$C$32*12+Drivers!$C$33*12))*Drivers!$C$34))-(((Drivers!$C$10*12*(1+-0.2)*(1-MIN(0.1,MAX(0,4*0.005))))+(Drivers!$C$15*12*(1+-0.2)*(1-MIN(0.35,MAX(0,4*Drivers!$C$18)))))*Drivers!$C$27/365 - Drivers!$C$10*12*Drivers!$C$27/365)</f>
        <v>-2787999.1232876712</v>
      </c>
      <c r="D31" s="67">
        <f>(((((Drivers!$C$10*12*(1+-0.1)*(1-MIN(0.1,MAX(0,4*0.005))))*Drivers!$C$12)+((Drivers!$C$15*12*(1+-0.1)*(1-MIN(0.35,MAX(0,4*Drivers!$C$18))))*Drivers!$C$17))-(Drivers!$C$22*12+Drivers!$C$32*12+Drivers!$C$33*12))-MAX(0,((((Drivers!$C$10*12*(1+-0.1)*(1-MIN(0.1,MAX(0,4*0.005))))*Drivers!$C$12)+((Drivers!$C$15*12*(1+-0.1)*(1-MIN(0.35,MAX(0,4*Drivers!$C$18))))*Drivers!$C$17))-(Drivers!$C$22*12+Drivers!$C$32*12+Drivers!$C$33*12))*Drivers!$C$34))-(((Drivers!$C$10*12*(1+-0.1)*(1-MIN(0.1,MAX(0,4*0.005))))+(Drivers!$C$15*12*(1+-0.1)*(1-MIN(0.35,MAX(0,4*Drivers!$C$18)))))*Drivers!$C$27/365 - Drivers!$C$10*12*Drivers!$C$27/365)</f>
        <v>-2342423.6712328768</v>
      </c>
      <c r="E31" s="67">
        <f>(((((Drivers!$C$10*12*(1+0)*(1-MIN(0.1,MAX(0,4*0.005))))*Drivers!$C$12)+((Drivers!$C$15*12*(1+0)*(1-MIN(0.35,MAX(0,4*Drivers!$C$18))))*Drivers!$C$17))-(Drivers!$C$22*12+Drivers!$C$32*12+Drivers!$C$33*12))-MAX(0,((((Drivers!$C$10*12*(1+0)*(1-MIN(0.1,MAX(0,4*0.005))))*Drivers!$C$12)+((Drivers!$C$15*12*(1+0)*(1-MIN(0.35,MAX(0,4*Drivers!$C$18))))*Drivers!$C$17))-(Drivers!$C$22*12+Drivers!$C$32*12+Drivers!$C$33*12))*Drivers!$C$34))-(((Drivers!$C$10*12*(1+0)*(1-MIN(0.1,MAX(0,4*0.005))))+(Drivers!$C$15*12*(1+0)*(1-MIN(0.35,MAX(0,4*Drivers!$C$18)))))*Drivers!$C$27/365 - Drivers!$C$10*12*Drivers!$C$27/365)</f>
        <v>-1896848.2191780824</v>
      </c>
      <c r="F31" s="67">
        <f>(((((Drivers!$C$10*12*(1+0.1)*(1-MIN(0.1,MAX(0,4*0.005))))*Drivers!$C$12)+((Drivers!$C$15*12*(1+0.1)*(1-MIN(0.35,MAX(0,4*Drivers!$C$18))))*Drivers!$C$17))-(Drivers!$C$22*12+Drivers!$C$32*12+Drivers!$C$33*12))-MAX(0,((((Drivers!$C$10*12*(1+0.1)*(1-MIN(0.1,MAX(0,4*0.005))))*Drivers!$C$12)+((Drivers!$C$15*12*(1+0.1)*(1-MIN(0.35,MAX(0,4*Drivers!$C$18))))*Drivers!$C$17))-(Drivers!$C$22*12+Drivers!$C$32*12+Drivers!$C$33*12))*Drivers!$C$34))-(((Drivers!$C$10*12*(1+0.1)*(1-MIN(0.1,MAX(0,4*0.005))))+(Drivers!$C$15*12*(1+0.1)*(1-MIN(0.35,MAX(0,4*Drivers!$C$18)))))*Drivers!$C$27/365 - Drivers!$C$10*12*Drivers!$C$27/365)</f>
        <v>-1610552.6071232872</v>
      </c>
      <c r="G31" s="67">
        <f>(((((Drivers!$C$10*12*(1+0.2)*(1-MIN(0.1,MAX(0,4*0.005))))*Drivers!$C$12)+((Drivers!$C$15*12*(1+0.2)*(1-MIN(0.35,MAX(0,4*Drivers!$C$18))))*Drivers!$C$17))-(Drivers!$C$22*12+Drivers!$C$32*12+Drivers!$C$33*12))-MAX(0,((((Drivers!$C$10*12*(1+0.2)*(1-MIN(0.1,MAX(0,4*0.005))))*Drivers!$C$12)+((Drivers!$C$15*12*(1+0.2)*(1-MIN(0.35,MAX(0,4*Drivers!$C$18))))*Drivers!$C$17))-(Drivers!$C$22*12+Drivers!$C$32*12+Drivers!$C$33*12))*Drivers!$C$34))-(((Drivers!$C$10*12*(1+0.2)*(1-MIN(0.1,MAX(0,4*0.005))))+(Drivers!$C$15*12*(1+0.2)*(1-MIN(0.35,MAX(0,4*Drivers!$C$18)))))*Drivers!$C$27/365 - Drivers!$C$10*12*Drivers!$C$27/365)</f>
        <v>-1371702.5950684932</v>
      </c>
      <c r="H31" s="67">
        <f>(((((Drivers!$C$10*12*(1+0.3)*(1-MIN(0.1,MAX(0,4*0.005))))*Drivers!$C$12)+((Drivers!$C$15*12*(1+0.3)*(1-MIN(0.35,MAX(0,4*Drivers!$C$18))))*Drivers!$C$17))-(Drivers!$C$22*12+Drivers!$C$32*12+Drivers!$C$33*12))-MAX(0,((((Drivers!$C$10*12*(1+0.3)*(1-MIN(0.1,MAX(0,4*0.005))))*Drivers!$C$12)+((Drivers!$C$15*12*(1+0.3)*(1-MIN(0.35,MAX(0,4*Drivers!$C$18))))*Drivers!$C$17))-(Drivers!$C$22*12+Drivers!$C$32*12+Drivers!$C$33*12))*Drivers!$C$34))-(((Drivers!$C$10*12*(1+0.3)*(1-MIN(0.1,MAX(0,4*0.005))))+(Drivers!$C$15*12*(1+0.3)*(1-MIN(0.35,MAX(0,4*Drivers!$C$18)))))*Drivers!$C$27/365 - Drivers!$C$10*12*Drivers!$C$27/365)</f>
        <v>-1132852.5830136987</v>
      </c>
    </row>
    <row r="32" spans="2:9" ht="19.5" customHeight="1" x14ac:dyDescent="0.25">
      <c r="B32" s="5" t="s">
        <v>220</v>
      </c>
      <c r="C32" s="67">
        <f>(((((Drivers!$C$10*12*(1+-0.2)*(1-MIN(0.1,MAX(0,6*0.005))))*Drivers!$C$12)+((Drivers!$C$15*12*(1+-0.2)*(1-MIN(0.35,MAX(0,6*Drivers!$C$18))))*Drivers!$C$17))-(Drivers!$C$22*12+Drivers!$C$32*12+Drivers!$C$33*12))-MAX(0,((((Drivers!$C$10*12*(1+-0.2)*(1-MIN(0.1,MAX(0,6*0.005))))*Drivers!$C$12)+((Drivers!$C$15*12*(1+-0.2)*(1-MIN(0.35,MAX(0,6*Drivers!$C$18))))*Drivers!$C$17))-(Drivers!$C$22*12+Drivers!$C$32*12+Drivers!$C$33*12))*Drivers!$C$34))-(((Drivers!$C$10*12*(1+-0.2)*(1-MIN(0.1,MAX(0,6*0.005))))+(Drivers!$C$15*12*(1+-0.2)*(1-MIN(0.35,MAX(0,6*Drivers!$C$18)))))*Drivers!$C$27/365 - Drivers!$C$10*12*Drivers!$C$27/365)</f>
        <v>-2947921.9726027399</v>
      </c>
      <c r="D32" s="67">
        <f>(((((Drivers!$C$10*12*(1+-0.1)*(1-MIN(0.1,MAX(0,6*0.005))))*Drivers!$C$12)+((Drivers!$C$15*12*(1+-0.1)*(1-MIN(0.35,MAX(0,6*Drivers!$C$18))))*Drivers!$C$17))-(Drivers!$C$22*12+Drivers!$C$32*12+Drivers!$C$33*12))-MAX(0,((((Drivers!$C$10*12*(1+-0.1)*(1-MIN(0.1,MAX(0,6*0.005))))*Drivers!$C$12)+((Drivers!$C$15*12*(1+-0.1)*(1-MIN(0.35,MAX(0,6*Drivers!$C$18))))*Drivers!$C$17))-(Drivers!$C$22*12+Drivers!$C$32*12+Drivers!$C$33*12))*Drivers!$C$34))-(((Drivers!$C$10*12*(1+-0.1)*(1-MIN(0.1,MAX(0,6*0.005))))+(Drivers!$C$15*12*(1+-0.1)*(1-MIN(0.35,MAX(0,6*Drivers!$C$18)))))*Drivers!$C$27/365 - Drivers!$C$10*12*Drivers!$C$27/365)</f>
        <v>-2522336.8767123288</v>
      </c>
      <c r="E32" s="67">
        <f>(((((Drivers!$C$10*12*(1+0)*(1-MIN(0.1,MAX(0,6*0.005))))*Drivers!$C$12)+((Drivers!$C$15*12*(1+0)*(1-MIN(0.35,MAX(0,6*Drivers!$C$18))))*Drivers!$C$17))-(Drivers!$C$22*12+Drivers!$C$32*12+Drivers!$C$33*12))-MAX(0,((((Drivers!$C$10*12*(1+0)*(1-MIN(0.1,MAX(0,6*0.005))))*Drivers!$C$12)+((Drivers!$C$15*12*(1+0)*(1-MIN(0.35,MAX(0,6*Drivers!$C$18))))*Drivers!$C$17))-(Drivers!$C$22*12+Drivers!$C$32*12+Drivers!$C$33*12))*Drivers!$C$34))-(((Drivers!$C$10*12*(1+0)*(1-MIN(0.1,MAX(0,6*0.005))))+(Drivers!$C$15*12*(1+0)*(1-MIN(0.35,MAX(0,6*Drivers!$C$18)))))*Drivers!$C$27/365 - Drivers!$C$10*12*Drivers!$C$27/365)</f>
        <v>-2096751.780821918</v>
      </c>
      <c r="F32" s="67">
        <f>(((((Drivers!$C$10*12*(1+0.1)*(1-MIN(0.1,MAX(0,6*0.005))))*Drivers!$C$12)+((Drivers!$C$15*12*(1+0.1)*(1-MIN(0.35,MAX(0,6*Drivers!$C$18))))*Drivers!$C$17))-(Drivers!$C$22*12+Drivers!$C$32*12+Drivers!$C$33*12))-MAX(0,((((Drivers!$C$10*12*(1+0.1)*(1-MIN(0.1,MAX(0,6*0.005))))*Drivers!$C$12)+((Drivers!$C$15*12*(1+0.1)*(1-MIN(0.35,MAX(0,6*Drivers!$C$18))))*Drivers!$C$17))-(Drivers!$C$22*12+Drivers!$C$32*12+Drivers!$C$33*12))*Drivers!$C$34))-(((Drivers!$C$10*12*(1+0.1)*(1-MIN(0.1,MAX(0,6*0.005))))+(Drivers!$C$15*12*(1+0.1)*(1-MIN(0.35,MAX(0,6*Drivers!$C$18)))))*Drivers!$C$27/365 - Drivers!$C$10*12*Drivers!$C$27/365)</f>
        <v>-1732642.4449315064</v>
      </c>
      <c r="G32" s="67">
        <f>(((((Drivers!$C$10*12*(1+0.2)*(1-MIN(0.1,MAX(0,6*0.005))))*Drivers!$C$12)+((Drivers!$C$15*12*(1+0.2)*(1-MIN(0.35,MAX(0,6*Drivers!$C$18))))*Drivers!$C$17))-(Drivers!$C$22*12+Drivers!$C$32*12+Drivers!$C$33*12))-MAX(0,((((Drivers!$C$10*12*(1+0.2)*(1-MIN(0.1,MAX(0,6*0.005))))*Drivers!$C$12)+((Drivers!$C$15*12*(1+0.2)*(1-MIN(0.35,MAX(0,6*Drivers!$C$18))))*Drivers!$C$17))-(Drivers!$C$22*12+Drivers!$C$32*12+Drivers!$C$33*12))*Drivers!$C$34))-(((Drivers!$C$10*12*(1+0.2)*(1-MIN(0.1,MAX(0,6*0.005))))+(Drivers!$C$15*12*(1+0.2)*(1-MIN(0.35,MAX(0,6*Drivers!$C$18)))))*Drivers!$C$27/365 - Drivers!$C$10*12*Drivers!$C$27/365)</f>
        <v>-1504891.5090410961</v>
      </c>
      <c r="H32" s="67">
        <f>(((((Drivers!$C$10*12*(1+0.3)*(1-MIN(0.1,MAX(0,6*0.005))))*Drivers!$C$12)+((Drivers!$C$15*12*(1+0.3)*(1-MIN(0.35,MAX(0,6*Drivers!$C$18))))*Drivers!$C$17))-(Drivers!$C$22*12+Drivers!$C$32*12+Drivers!$C$33*12))-MAX(0,((((Drivers!$C$10*12*(1+0.3)*(1-MIN(0.1,MAX(0,6*0.005))))*Drivers!$C$12)+((Drivers!$C$15*12*(1+0.3)*(1-MIN(0.35,MAX(0,6*Drivers!$C$18))))*Drivers!$C$17))-(Drivers!$C$22*12+Drivers!$C$32*12+Drivers!$C$33*12))*Drivers!$C$34))-(((Drivers!$C$10*12*(1+0.3)*(1-MIN(0.1,MAX(0,6*0.005))))+(Drivers!$C$15*12*(1+0.3)*(1-MIN(0.35,MAX(0,6*Drivers!$C$18)))))*Drivers!$C$27/365 - Drivers!$C$10*12*Drivers!$C$27/365)</f>
        <v>-1277140.5731506851</v>
      </c>
    </row>
    <row r="33" spans="2:9" ht="19.5" customHeight="1" x14ac:dyDescent="0.25">
      <c r="B33" s="5" t="s">
        <v>221</v>
      </c>
      <c r="C33" s="67">
        <f>(((((Drivers!$C$10*12*(1+-0.2)*(1-MIN(0.1,MAX(0,8*0.005))))*Drivers!$C$12)+((Drivers!$C$15*12*(1+-0.2)*(1-MIN(0.35,MAX(0,8*Drivers!$C$18))))*Drivers!$C$17))-(Drivers!$C$22*12+Drivers!$C$32*12+Drivers!$C$33*12))-MAX(0,((((Drivers!$C$10*12*(1+-0.2)*(1-MIN(0.1,MAX(0,8*0.005))))*Drivers!$C$12)+((Drivers!$C$15*12*(1+-0.2)*(1-MIN(0.35,MAX(0,8*Drivers!$C$18))))*Drivers!$C$17))-(Drivers!$C$22*12+Drivers!$C$32*12+Drivers!$C$33*12))*Drivers!$C$34))-(((Drivers!$C$10*12*(1+-0.2)*(1-MIN(0.1,MAX(0,8*0.005))))+(Drivers!$C$15*12*(1+-0.2)*(1-MIN(0.35,MAX(0,8*Drivers!$C$18)))))*Drivers!$C$27/365 - Drivers!$C$10*12*Drivers!$C$27/365)</f>
        <v>-3107844.8219178081</v>
      </c>
      <c r="D33" s="67">
        <f>(((((Drivers!$C$10*12*(1+-0.1)*(1-MIN(0.1,MAX(0,8*0.005))))*Drivers!$C$12)+((Drivers!$C$15*12*(1+-0.1)*(1-MIN(0.35,MAX(0,8*Drivers!$C$18))))*Drivers!$C$17))-(Drivers!$C$22*12+Drivers!$C$32*12+Drivers!$C$33*12))-MAX(0,((((Drivers!$C$10*12*(1+-0.1)*(1-MIN(0.1,MAX(0,8*0.005))))*Drivers!$C$12)+((Drivers!$C$15*12*(1+-0.1)*(1-MIN(0.35,MAX(0,8*Drivers!$C$18))))*Drivers!$C$17))-(Drivers!$C$22*12+Drivers!$C$32*12+Drivers!$C$33*12))*Drivers!$C$34))-(((Drivers!$C$10*12*(1+-0.1)*(1-MIN(0.1,MAX(0,8*0.005))))+(Drivers!$C$15*12*(1+-0.1)*(1-MIN(0.35,MAX(0,8*Drivers!$C$18)))))*Drivers!$C$27/365 - Drivers!$C$10*12*Drivers!$C$27/365)</f>
        <v>-2702250.0821917807</v>
      </c>
      <c r="E33" s="67">
        <f>(((((Drivers!$C$10*12*(1+0)*(1-MIN(0.1,MAX(0,8*0.005))))*Drivers!$C$12)+((Drivers!$C$15*12*(1+0)*(1-MIN(0.35,MAX(0,8*Drivers!$C$18))))*Drivers!$C$17))-(Drivers!$C$22*12+Drivers!$C$32*12+Drivers!$C$33*12))-MAX(0,((((Drivers!$C$10*12*(1+0)*(1-MIN(0.1,MAX(0,8*0.005))))*Drivers!$C$12)+((Drivers!$C$15*12*(1+0)*(1-MIN(0.35,MAX(0,8*Drivers!$C$18))))*Drivers!$C$17))-(Drivers!$C$22*12+Drivers!$C$32*12+Drivers!$C$33*12))*Drivers!$C$34))-(((Drivers!$C$10*12*(1+0)*(1-MIN(0.1,MAX(0,8*0.005))))+(Drivers!$C$15*12*(1+0)*(1-MIN(0.35,MAX(0,8*Drivers!$C$18)))))*Drivers!$C$27/365 - Drivers!$C$10*12*Drivers!$C$27/365)</f>
        <v>-2296655.3424657537</v>
      </c>
      <c r="F33" s="67">
        <f>(((((Drivers!$C$10*12*(1+0.1)*(1-MIN(0.1,MAX(0,8*0.005))))*Drivers!$C$12)+((Drivers!$C$15*12*(1+0.1)*(1-MIN(0.35,MAX(0,8*Drivers!$C$18))))*Drivers!$C$17))-(Drivers!$C$22*12+Drivers!$C$32*12+Drivers!$C$33*12))-MAX(0,((((Drivers!$C$10*12*(1+0.1)*(1-MIN(0.1,MAX(0,8*0.005))))*Drivers!$C$12)+((Drivers!$C$15*12*(1+0.1)*(1-MIN(0.35,MAX(0,8*Drivers!$C$18))))*Drivers!$C$17))-(Drivers!$C$22*12+Drivers!$C$32*12+Drivers!$C$33*12))*Drivers!$C$34))-(((Drivers!$C$10*12*(1+0.1)*(1-MIN(0.1,MAX(0,8*0.005))))+(Drivers!$C$15*12*(1+0.1)*(1-MIN(0.35,MAX(0,8*Drivers!$C$18)))))*Drivers!$C$27/365 - Drivers!$C$10*12*Drivers!$C$27/365)</f>
        <v>-1891060.6027397248</v>
      </c>
      <c r="G33" s="67">
        <f>(((((Drivers!$C$10*12*(1+0.2)*(1-MIN(0.1,MAX(0,8*0.005))))*Drivers!$C$12)+((Drivers!$C$15*12*(1+0.2)*(1-MIN(0.35,MAX(0,8*Drivers!$C$18))))*Drivers!$C$17))-(Drivers!$C$22*12+Drivers!$C$32*12+Drivers!$C$33*12))-MAX(0,((((Drivers!$C$10*12*(1+0.2)*(1-MIN(0.1,MAX(0,8*0.005))))*Drivers!$C$12)+((Drivers!$C$15*12*(1+0.2)*(1-MIN(0.35,MAX(0,8*Drivers!$C$18))))*Drivers!$C$17))-(Drivers!$C$22*12+Drivers!$C$32*12+Drivers!$C$33*12))*Drivers!$C$34))-(((Drivers!$C$10*12*(1+0.2)*(1-MIN(0.1,MAX(0,8*0.005))))+(Drivers!$C$15*12*(1+0.2)*(1-MIN(0.35,MAX(0,8*Drivers!$C$18)))))*Drivers!$C$27/365 - Drivers!$C$10*12*Drivers!$C$27/365)</f>
        <v>-1638080.4230136988</v>
      </c>
      <c r="H33" s="67">
        <f>(((((Drivers!$C$10*12*(1+0.3)*(1-MIN(0.1,MAX(0,8*0.005))))*Drivers!$C$12)+((Drivers!$C$15*12*(1+0.3)*(1-MIN(0.35,MAX(0,8*Drivers!$C$18))))*Drivers!$C$17))-(Drivers!$C$22*12+Drivers!$C$32*12+Drivers!$C$33*12))-MAX(0,((((Drivers!$C$10*12*(1+0.3)*(1-MIN(0.1,MAX(0,8*0.005))))*Drivers!$C$12)+((Drivers!$C$15*12*(1+0.3)*(1-MIN(0.35,MAX(0,8*Drivers!$C$18))))*Drivers!$C$17))-(Drivers!$C$22*12+Drivers!$C$32*12+Drivers!$C$33*12))*Drivers!$C$34))-(((Drivers!$C$10*12*(1+0.3)*(1-MIN(0.1,MAX(0,8*0.005))))+(Drivers!$C$15*12*(1+0.3)*(1-MIN(0.35,MAX(0,8*Drivers!$C$18)))))*Drivers!$C$27/365 - Drivers!$C$10*12*Drivers!$C$27/365)</f>
        <v>-1421428.5632876712</v>
      </c>
    </row>
    <row r="37" spans="2:9" ht="21.75" customHeight="1" x14ac:dyDescent="0.25">
      <c r="B37" s="88" t="s">
        <v>224</v>
      </c>
      <c r="C37" s="88"/>
      <c r="D37" s="88"/>
      <c r="E37" s="88"/>
      <c r="F37" s="88"/>
      <c r="G37" s="88"/>
      <c r="H37" s="88"/>
      <c r="I37" s="88"/>
    </row>
    <row r="38" spans="2:9" ht="36" customHeight="1" x14ac:dyDescent="0.25">
      <c r="B38" s="96" t="s">
        <v>225</v>
      </c>
      <c r="C38" s="96"/>
      <c r="D38" s="96"/>
      <c r="E38" s="96"/>
      <c r="F38" s="96"/>
      <c r="G38" s="96"/>
      <c r="H38" s="96"/>
      <c r="I38" s="96"/>
    </row>
    <row r="39" spans="2:9" ht="36" customHeight="1" x14ac:dyDescent="0.25">
      <c r="B39" s="96" t="s">
        <v>226</v>
      </c>
      <c r="C39" s="96"/>
      <c r="D39" s="96"/>
      <c r="E39" s="96"/>
      <c r="F39" s="96"/>
      <c r="G39" s="96"/>
      <c r="H39" s="96"/>
      <c r="I39" s="96"/>
    </row>
    <row r="40" spans="2:9" ht="36" customHeight="1" x14ac:dyDescent="0.25">
      <c r="B40" s="96" t="s">
        <v>227</v>
      </c>
      <c r="C40" s="96"/>
      <c r="D40" s="96"/>
      <c r="E40" s="96"/>
      <c r="F40" s="96"/>
      <c r="G40" s="96"/>
      <c r="H40" s="96"/>
      <c r="I40" s="96"/>
    </row>
  </sheetData>
  <mergeCells count="10">
    <mergeCell ref="B1:I1"/>
    <mergeCell ref="B2:I2"/>
    <mergeCell ref="B4:I4"/>
    <mergeCell ref="B6:I6"/>
    <mergeCell ref="B16:I16"/>
    <mergeCell ref="B26:I26"/>
    <mergeCell ref="B37:I37"/>
    <mergeCell ref="B38:I38"/>
    <mergeCell ref="B39:I39"/>
    <mergeCell ref="B40:I40"/>
  </mergeCells>
  <conditionalFormatting sqref="C8:H13">
    <cfRule type="colorScale" priority="2">
      <colorScale>
        <cfvo type="min"/>
        <cfvo type="percentile" val="50"/>
        <cfvo type="max"/>
        <color rgb="FFF8696B"/>
        <color rgb="FFFFEB84"/>
        <color rgb="FF63BE7B"/>
      </colorScale>
    </cfRule>
  </conditionalFormatting>
  <conditionalFormatting sqref="C18:H23">
    <cfRule type="colorScale" priority="3">
      <colorScale>
        <cfvo type="min"/>
        <cfvo type="percentile" val="50"/>
        <cfvo type="max"/>
        <color rgb="FFF8696B"/>
        <color rgb="FFFFEB84"/>
        <color rgb="FF63BE7B"/>
      </colorScale>
    </cfRule>
  </conditionalFormatting>
  <conditionalFormatting sqref="C28:H33">
    <cfRule type="colorScale" priority="4">
      <colorScale>
        <cfvo type="min"/>
        <cfvo type="percentile" val="50"/>
        <cfvo type="max"/>
        <color rgb="FFF8696B"/>
        <color rgb="FFFFEB84"/>
        <color rgb="FF63BE7B"/>
      </colorScale>
    </cfRule>
  </conditionalFormatting>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28"/>
  <sheetViews>
    <sheetView showGridLines="0" zoomScaleNormal="100" workbookViewId="0"/>
  </sheetViews>
  <sheetFormatPr defaultColWidth="8.7109375" defaultRowHeight="15" x14ac:dyDescent="0.25"/>
  <cols>
    <col min="1" max="1" width="3" customWidth="1"/>
    <col min="2" max="2" width="32" customWidth="1"/>
    <col min="3" max="4" width="18" customWidth="1"/>
    <col min="5" max="5" width="50" customWidth="1"/>
  </cols>
  <sheetData>
    <row r="1" spans="2:5" ht="30" customHeight="1" x14ac:dyDescent="0.25">
      <c r="B1" s="90" t="s">
        <v>228</v>
      </c>
      <c r="C1" s="90"/>
      <c r="D1" s="90"/>
      <c r="E1" s="90"/>
    </row>
    <row r="2" spans="2:5" ht="15" customHeight="1" x14ac:dyDescent="0.25">
      <c r="B2" s="95" t="str">
        <f>"Scenario: "&amp;Drivers!D5&amp;"  ·  Switch active scenario on Drivers sheet, cell C5"</f>
        <v>Scenario: BASE  ·  Switch active scenario on Drivers sheet, cell C5</v>
      </c>
      <c r="C2" s="95"/>
      <c r="D2" s="95"/>
      <c r="E2" s="95"/>
    </row>
    <row r="4" spans="2:5" ht="21.75" customHeight="1" x14ac:dyDescent="0.25">
      <c r="B4" s="88" t="s">
        <v>229</v>
      </c>
      <c r="C4" s="88"/>
      <c r="D4" s="88"/>
      <c r="E4" s="88"/>
    </row>
    <row r="5" spans="2:5" ht="21.75" customHeight="1" x14ac:dyDescent="0.25">
      <c r="B5" s="43" t="s">
        <v>230</v>
      </c>
      <c r="C5" s="5" t="s">
        <v>231</v>
      </c>
      <c r="D5" s="68"/>
      <c r="E5" s="43" t="s">
        <v>232</v>
      </c>
    </row>
    <row r="6" spans="2:5" ht="19.5" customHeight="1" x14ac:dyDescent="0.25">
      <c r="B6" s="69" t="s">
        <v>233</v>
      </c>
      <c r="C6" s="70">
        <f>SUM('Forecast P&amp;L'!C8:N8)</f>
        <v>29485126.062117171</v>
      </c>
      <c r="D6" s="71"/>
      <c r="E6" s="72" t="s">
        <v>234</v>
      </c>
    </row>
    <row r="7" spans="2:5" ht="19.5" customHeight="1" x14ac:dyDescent="0.25">
      <c r="B7" s="73" t="s">
        <v>235</v>
      </c>
      <c r="C7" s="74">
        <f>SUM('Forecast P&amp;L'!C16:N16)</f>
        <v>8794050.424846869</v>
      </c>
      <c r="D7" s="75"/>
      <c r="E7" s="76" t="s">
        <v>236</v>
      </c>
    </row>
    <row r="8" spans="2:5" ht="19.5" customHeight="1" x14ac:dyDescent="0.25">
      <c r="B8" s="69" t="s">
        <v>237</v>
      </c>
      <c r="C8" s="77">
        <f>C7/C6</f>
        <v>0.29825378417308401</v>
      </c>
      <c r="D8" s="71"/>
      <c r="E8" s="72" t="s">
        <v>238</v>
      </c>
    </row>
    <row r="9" spans="2:5" ht="19.5" customHeight="1" x14ac:dyDescent="0.25">
      <c r="B9" s="73" t="s">
        <v>239</v>
      </c>
      <c r="C9" s="74">
        <f>SUM('Forecast P&amp;L'!C23:N23)</f>
        <v>4234050.4248468708</v>
      </c>
      <c r="D9" s="75"/>
      <c r="E9" s="76" t="s">
        <v>240</v>
      </c>
    </row>
    <row r="10" spans="2:5" ht="19.5" customHeight="1" x14ac:dyDescent="0.25">
      <c r="B10" s="69" t="s">
        <v>241</v>
      </c>
      <c r="C10" s="77">
        <f>C9/C6</f>
        <v>0.14359953611617174</v>
      </c>
      <c r="D10" s="71"/>
      <c r="E10" s="72" t="s">
        <v>242</v>
      </c>
    </row>
    <row r="11" spans="2:5" ht="19.5" customHeight="1" x14ac:dyDescent="0.25">
      <c r="B11" s="73" t="s">
        <v>243</v>
      </c>
      <c r="C11" s="74">
        <f>SUM('Forecast P&amp;L'!C30:N30)</f>
        <v>2803327.0622624503</v>
      </c>
      <c r="D11" s="75"/>
      <c r="E11" s="76" t="s">
        <v>244</v>
      </c>
    </row>
    <row r="12" spans="2:5" ht="19.5" customHeight="1" x14ac:dyDescent="0.25">
      <c r="B12" s="69" t="s">
        <v>245</v>
      </c>
      <c r="C12" s="70">
        <f>SUM('Cash Flow'!C17:N17)</f>
        <v>7610652.3146477127</v>
      </c>
      <c r="D12" s="71"/>
      <c r="E12" s="72" t="s">
        <v>246</v>
      </c>
    </row>
    <row r="13" spans="2:5" ht="19.5" customHeight="1" x14ac:dyDescent="0.25">
      <c r="B13" s="73" t="s">
        <v>247</v>
      </c>
      <c r="C13" s="74">
        <f>C11-C12</f>
        <v>-4807325.2523852624</v>
      </c>
      <c r="D13" s="75"/>
      <c r="E13" s="76" t="s">
        <v>248</v>
      </c>
    </row>
    <row r="15" spans="2:5" ht="21.75" customHeight="1" x14ac:dyDescent="0.25">
      <c r="B15" s="88" t="s">
        <v>249</v>
      </c>
      <c r="C15" s="88"/>
      <c r="D15" s="88"/>
      <c r="E15" s="88"/>
    </row>
    <row r="16" spans="2:5" ht="21.75" customHeight="1" x14ac:dyDescent="0.25">
      <c r="B16" s="43" t="s">
        <v>230</v>
      </c>
      <c r="C16" s="5" t="s">
        <v>231</v>
      </c>
      <c r="D16" s="68"/>
      <c r="E16" s="43" t="s">
        <v>232</v>
      </c>
    </row>
    <row r="17" spans="2:5" ht="19.5" customHeight="1" x14ac:dyDescent="0.25">
      <c r="B17" s="69" t="s">
        <v>250</v>
      </c>
      <c r="C17" s="70">
        <f>'Backlog &amp; Orders'!N23</f>
        <v>4514873.9378828239</v>
      </c>
      <c r="D17" s="71"/>
      <c r="E17" s="72" t="s">
        <v>251</v>
      </c>
    </row>
    <row r="18" spans="2:5" ht="19.5" customHeight="1" x14ac:dyDescent="0.25">
      <c r="B18" s="73" t="s">
        <v>252</v>
      </c>
      <c r="C18" s="78">
        <f>'Backlog &amp; Orders'!N25</f>
        <v>2.2283549605639306</v>
      </c>
      <c r="D18" s="75"/>
      <c r="E18" s="76" t="s">
        <v>253</v>
      </c>
    </row>
    <row r="19" spans="2:5" ht="19.5" customHeight="1" x14ac:dyDescent="0.25">
      <c r="B19" s="69" t="s">
        <v>254</v>
      </c>
      <c r="C19" s="79">
        <f>AVERAGE('Backlog &amp; Orders'!C24:N24)</f>
        <v>0.84898544222676475</v>
      </c>
      <c r="D19" s="71"/>
      <c r="E19" s="72" t="s">
        <v>255</v>
      </c>
    </row>
    <row r="20" spans="2:5" ht="19.5" customHeight="1" x14ac:dyDescent="0.25">
      <c r="B20" s="73" t="s">
        <v>256</v>
      </c>
      <c r="C20" s="74">
        <f>SUM('Backlog &amp; Orders'!C21:N21)</f>
        <v>24000000</v>
      </c>
      <c r="D20" s="75"/>
      <c r="E20" s="76" t="s">
        <v>257</v>
      </c>
    </row>
    <row r="21" spans="2:5" ht="19.5" customHeight="1" x14ac:dyDescent="0.25">
      <c r="B21" s="69" t="s">
        <v>258</v>
      </c>
      <c r="C21" s="70">
        <f>SUM('Backlog &amp; Orders'!C22:N22)</f>
        <v>0</v>
      </c>
      <c r="D21" s="71"/>
      <c r="E21" s="72" t="s">
        <v>259</v>
      </c>
    </row>
    <row r="22" spans="2:5" ht="19.5" customHeight="1" x14ac:dyDescent="0.25">
      <c r="B22" s="73" t="s">
        <v>260</v>
      </c>
      <c r="C22" s="80">
        <f>IFERROR(C21/(C20+C21),0)</f>
        <v>0</v>
      </c>
      <c r="D22" s="75"/>
      <c r="E22" s="76" t="s">
        <v>261</v>
      </c>
    </row>
    <row r="25" spans="2:5" ht="21.75" customHeight="1" x14ac:dyDescent="0.25">
      <c r="B25" s="88" t="s">
        <v>262</v>
      </c>
      <c r="C25" s="88"/>
      <c r="D25" s="88"/>
      <c r="E25" s="88"/>
    </row>
    <row r="26" spans="2:5" ht="21.75" customHeight="1" x14ac:dyDescent="0.25">
      <c r="B26" s="69" t="s">
        <v>263</v>
      </c>
      <c r="C26" s="70">
        <f>MIN('Cash Flow'!C19:N19)</f>
        <v>725130</v>
      </c>
      <c r="E26" s="72" t="s">
        <v>264</v>
      </c>
    </row>
    <row r="27" spans="2:5" ht="23.25" customHeight="1" x14ac:dyDescent="0.25">
      <c r="B27" s="81" t="s">
        <v>265</v>
      </c>
      <c r="C27" s="82">
        <f>MAX('Cash Flow'!C19:N19)</f>
        <v>7610652.3146477127</v>
      </c>
      <c r="E27" s="83" t="s">
        <v>266</v>
      </c>
    </row>
    <row r="28" spans="2:5" ht="15" customHeight="1" x14ac:dyDescent="0.25">
      <c r="B28" s="52" t="s">
        <v>267</v>
      </c>
      <c r="C28" s="84">
        <f>C27-C26</f>
        <v>6885522.3146477127</v>
      </c>
      <c r="E28" s="85" t="s">
        <v>268</v>
      </c>
    </row>
  </sheetData>
  <mergeCells count="5">
    <mergeCell ref="B1:E1"/>
    <mergeCell ref="B2:E2"/>
    <mergeCell ref="B4:E4"/>
    <mergeCell ref="B15:E15"/>
    <mergeCell ref="B25:E2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Drivers</vt:lpstr>
      <vt:lpstr>Strategic Scenarios</vt:lpstr>
      <vt:lpstr>Backlog &amp; Orders</vt:lpstr>
      <vt:lpstr>Forecast P&amp;L</vt:lpstr>
      <vt:lpstr>Cash Flow</vt:lpstr>
      <vt:lpstr>2-Way Sensitivity</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Yehuda Slater</cp:lastModifiedBy>
  <cp:revision>0</cp:revision>
  <dcterms:created xsi:type="dcterms:W3CDTF">2026-04-30T00:16:05Z</dcterms:created>
  <dcterms:modified xsi:type="dcterms:W3CDTF">2026-05-05T14:13:26Z</dcterms:modified>
  <dc:language>en-US</dc:language>
</cp:coreProperties>
</file>