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rivers" sheetId="2" state="visible" r:id="rId4"/>
    <sheet name="Forecast" sheetId="3" state="visible" r:id="rId5"/>
    <sheet name="Comparison" sheetId="4" state="visible" r:id="rId6"/>
    <sheet name="Sensitivity" sheetId="5" state="visible" r:id="rId7"/>
    <sheet name="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<sst xmlns="http://schemas.openxmlformats.org/spreadsheetml/2006/main" count="153" uniqueCount="91">
  <si>
    <t xml:space="preserve">Forecast Scenario &amp; Sensitivity Model</t>
  </si>
  <si>
    <t xml:space="preserve">Built by Yehuda Slater · Strategic FP&amp;A &amp; Financial Decision Modeling</t>
  </si>
  <si>
    <t xml:space="preserve">THE BUSINESS QUESTION</t>
  </si>
  <si>
    <t xml:space="preserve">Single-point forecasts are almost always wrong. The real question is: what is the realistic range of outcomes under the assumptions we are willing to defend, and which assumptions matter most to the result?</t>
  </si>
  <si>
    <t xml:space="preserve">WHAT THIS MODEL DOES</t>
  </si>
  <si>
    <t xml:space="preserve">Builds a 5-year financial forecast under three scenarios:
   • BASE — central, defensible assumptions
   • UPSIDE — favorable but realistic conditions
   • DOWNSIDE — adverse but plausible conditions
It then runs a sensitivity analysis showing which drivers move the outcome most — so leadership knows where to focus attention and where the real risk lies.</t>
  </si>
  <si>
    <t xml:space="preserve">THE DRIVERS</t>
  </si>
  <si>
    <t xml:space="preserve">The forecast is built from 8 fundamental drivers:
   1. Starting revenue (Year 0)
   2. Revenue growth rate
   3. Gross margin %
   4. Operating expense growth rate
   5. Starting OpEx as % of revenue
   6. Tax rate
   7. Interest expense
   8. Capital intensity (capex as % of revenue) — informational</t>
  </si>
  <si>
    <t xml:space="preserve">SHEETS</t>
  </si>
  <si>
    <t xml:space="preserve">1. Instructions  →  This page
2. Drivers       →  Scenario assumptions for each driver
3. Forecast      →  5-year P&amp;L under each scenario
4. Comparison    →  Side-by-side scenario comparison
5. Sensitivity   →  Tornado-style sensitivity on key drivers
6. Summary       →  Executive view with key metrics</t>
  </si>
  <si>
    <t xml:space="preserve">HOW TO USE</t>
  </si>
  <si>
    <t xml:space="preserve">Step 1: Open the Drivers sheet.
Step 2: Set Base / Upside / Downside assumptions for each driver.
Step 3: All forecast and comparison sheets update automatically.
Step 4: Open Sensitivity sheet to see which drivers matter most.
Step 5: Use Summary to read the executive-level results.</t>
  </si>
  <si>
    <t xml:space="preserve">COLOR CODING</t>
  </si>
  <si>
    <t xml:space="preserve">Blue text   → Hardcoded inputs (you change these)
Black text  → Formulas (do not edit)
Green text  → Cross-sheet links
Yellow bg   → Key input cells
Light green → Base scenario
Light amber → Upside scenario
Light pink  → Downside scenario</t>
  </si>
  <si>
    <t xml:space="preserve">INTERPRETATION TIPS</t>
  </si>
  <si>
    <t xml:space="preserve">• Look at the Sensitivity sheet first. The drivers with the longest bars are the ones leadership should focus attention on.
• If the sensitivity is dominated by one driver, your forecast is essentially a forecast of that single number — make sure it is well grounded.
• A wide gap between Upside and Downside on Year 5 net income means the business is highly sensitive to assumptions — plan for optionality.
• If Base and Upside look similar, your Base case may be optimistically framed. Reasonable Base cases sit in the middle of plausible outcomes.</t>
  </si>
  <si>
    <t xml:space="preserve">FORECAST DRIVERS — SCENARIO INPUTS</t>
  </si>
  <si>
    <t xml:space="preserve">All blue cells are inputs. Set assumptions for each scenario.</t>
  </si>
  <si>
    <t xml:space="preserve">Driver</t>
  </si>
  <si>
    <t xml:space="preserve">Base</t>
  </si>
  <si>
    <t xml:space="preserve">Upside</t>
  </si>
  <si>
    <t xml:space="preserve">Downside</t>
  </si>
  <si>
    <t xml:space="preserve">Notes</t>
  </si>
  <si>
    <t xml:space="preserve">Starting Revenue (Year 0)</t>
  </si>
  <si>
    <t xml:space="preserve">Last full year actual revenue</t>
  </si>
  <si>
    <t xml:space="preserve">Revenue Growth Rate (annual)</t>
  </si>
  <si>
    <t xml:space="preserve">Year-over-year compound growth</t>
  </si>
  <si>
    <t xml:space="preserve">Gross Margin %</t>
  </si>
  <si>
    <t xml:space="preserve">Average across business</t>
  </si>
  <si>
    <t xml:space="preserve">OpEx Year 0 ($)</t>
  </si>
  <si>
    <t xml:space="preserve">Last year operating expense base</t>
  </si>
  <si>
    <t xml:space="preserve">OpEx Growth Rate (annual)</t>
  </si>
  <si>
    <t xml:space="preserve">Annual cost inflation</t>
  </si>
  <si>
    <t xml:space="preserve">Tax Rate</t>
  </si>
  <si>
    <t xml:space="preserve">Effective corporate tax rate</t>
  </si>
  <si>
    <t xml:space="preserve">Interest Expense (annual)</t>
  </si>
  <si>
    <t xml:space="preserve">Annual interest on debt</t>
  </si>
  <si>
    <t xml:space="preserve">CapEx as % of Revenue</t>
  </si>
  <si>
    <t xml:space="preserve">Capital intensity (informational)</t>
  </si>
  <si>
    <t xml:space="preserve">5-YEAR FORECAST — ALL SCENARIOS</t>
  </si>
  <si>
    <t xml:space="preserve">Pulls automatically from Drivers sheet. Years 1–5 forecasted from Year 0 base.</t>
  </si>
  <si>
    <t xml:space="preserve">  BASE SCENARIO</t>
  </si>
  <si>
    <t xml:space="preserve">Item</t>
  </si>
  <si>
    <t xml:space="preserve">Year 0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</si>
  <si>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</si>
  <si>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</si>
  <si>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</si>
  <si>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</si>
  <si>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</si>
  <si>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Revenue</t>
  </si>
  <si>
    <t xml:space="preserve">Gross Profit</t>
  </si>
  <si>
    <t xml:space="preserve">Operating Expenses</t>
  </si>
  <si>
    <t xml:space="preserve">EBITDA</t>
  </si>
  <si>
    <t xml:space="preserve">Interest Expense</t>
  </si>
  <si>
    <t xml:space="preserve">EBT</t>
  </si>
  <si>
    <t xml:space="preserve">Income Tax</t>
  </si>
  <si>
    <t xml:space="preserve">NET INCOME</t>
  </si>
  <si>
    <t xml:space="preserve">  UPSIDE SCENARIO</t>
  </si>
  <si>
    <t xml:space="preserve">  DOWNSIDE SCENARIO</t>
  </si>
  <si>
    <t xml:space="preserve">SCENARIO COMPARISON — KEY METRICS</t>
  </si>
  <si>
    <t xml:space="preserve">NET INCOME BY SCENARIO</t>
  </si>
  <si>
    <t xml:space="preserve">Scenario</t>
  </si>
  <si>
    <t xml:space="preserve">REVENUE BY SCENARIO</t>
  </si>
  <si>
    <t xml:space="preserve">YEAR 5 SPREAD (BASE vs SCENARIOS)</t>
  </si>
  <si>
    <t xml:space="preserve">Metric</t>
  </si>
  <si>
    <t xml:space="preserve">Up vs Base</t>
  </si>
  <si>
    <t xml:space="preserve">Down vs Base</t>
  </si>
  <si>
    <t xml:space="preserve">Range</t>
  </si>
  <si>
    <t xml:space="preserve">Year 5 Net Income</t>
  </si>
  <si>
    <t xml:space="preserve">SENSITIVITY ANALYSIS — YEAR 5 NET INCOME</t>
  </si>
  <si>
    <t xml:space="preserve">Each driver is flexed ±10% from the Base scenario value, holding all others constant.</t>
  </si>
  <si>
    <t xml:space="preserve">Base Value</t>
  </si>
  <si>
    <t xml:space="preserve">−10% Outcome</t>
  </si>
  <si>
    <t xml:space="preserve">+10% Outcome</t>
  </si>
  <si>
    <t xml:space="preserve">% of Base NI</t>
  </si>
  <si>
    <t xml:space="preserve">Starting Revenue</t>
  </si>
  <si>
    <t xml:space="preserve">Revenue Growth Rate</t>
  </si>
  <si>
    <t xml:space="preserve">Starting OpEx</t>
  </si>
  <si>
    <t xml:space="preserve">OpEx Growth Rate</t>
  </si>
  <si>
    <t xml:space="preserve">Base Y5 Net Income (reference)</t>
  </si>
  <si>
    <t xml:space="preserve">The 'Range' column shows how much Year 5 Net Income changes when each driver alone is flexed by ±10%. The longer the range, the more the forecast depends on that driver — that is where leadership should focus attention.</t>
  </si>
  <si>
    <t xml:space="preserve">EXECUTIVE SUMMARY</t>
  </si>
  <si>
    <t xml:space="preserve">Year 5 Revenue</t>
  </si>
  <si>
    <t xml:space="preserve">Year 5 Gross Profit</t>
  </si>
  <si>
    <t xml:space="preserve">Year 5 EBITDA</t>
  </si>
  <si>
    <t xml:space="preserve">5-Yr Revenue CAGR</t>
  </si>
  <si>
    <t xml:space="preserve">Y5 EBITDA Margin</t>
  </si>
  <si>
    <t xml:space="preserve">Y5 Net Margin</t>
  </si>
  <si>
    <t xml:space="preserve">Cumulative 5-Yr Net Income</t>
  </si>
  <si>
    <t xml:space="preserve">WHERE TO FOCUS</t>
  </si>
  <si>
    <t xml:space="preserve">The Sensitivity sheet shows which drivers move Year 5 Net Income the most. The drivers with the largest range are where leadership should focus attention — both in stress-testing the assumptions and in operational follow-through.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</si>
</sst>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;\(0.0%\);\-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1B4332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40404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1B4332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i val="true"/>
      <sz val="10"/>
      <color rgb="FF404040"/>
      <name val="Arial"/>
      <family val="0"/>
      <charset val="1"/>
    </font>
    <font>
      <sz val="10"/>
      <color rgb="FF40404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B4332"/>
        <bgColor rgb="FF404040"/>
      </patternFill>
    </fill>
    <fill>
      <patternFill patternType="solid">
        <fgColor rgb="FF2D6A4F"/>
        <bgColor rgb="FF1B4332"/>
      </patternFill>
    </fill>
    <fill>
      <patternFill patternType="solid">
        <fgColor rgb="FFF0FAF3"/>
        <bgColor rgb="FFE8F5E9"/>
      </patternFill>
    </fill>
    <fill>
      <patternFill patternType="solid">
        <fgColor rgb="FFE8F5E9"/>
        <bgColor rgb="FFF0FAF3"/>
      </patternFill>
    </fill>
    <fill>
      <patternFill patternType="solid">
        <fgColor rgb="FFFFF8E1"/>
        <bgColor rgb="FFF0FAF3"/>
      </patternFill>
    </fill>
    <fill>
      <patternFill patternType="solid">
        <fgColor rgb="FFFCE4EC"/>
        <bgColor rgb="FFFFF8E1"/>
      </patternFill>
    </fill>
    <fill>
      <patternFill patternType="solid">
        <fgColor rgb="FFFFFFFF"/>
        <bgColor rgb="FFF0FAF3"/>
      </patternFill>
    </fill>
    <fill>
      <patternFill patternType="solid">
        <fgColor rgb="FFD8F3DC"/>
        <bgColor rgb="FFE8F5E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AF3"/>
      <rgbColor rgb="FFD8F3D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B4332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70"/>
  </cols>
  <sheetData>
    <row r="1" customFormat="false" ht="36" hidden="false" customHeight="true" outlineLevel="0" collapsed="false">
      <c r="B1" s="2" t="s">
        <v>0</v>
      </c>
      <c r="C1" s="2"/>
    </row>
    <row r="2" customFormat="false" ht="19.5" hidden="false" customHeight="true" outlineLevel="0" collapsed="false">
      <c r="B2" s="3" t="s">
        <v>1</v>
      </c>
      <c r="C2" s="3"/>
    </row>
    <row r="4" customFormat="false" ht="30" hidden="false" customHeight="true" outlineLevel="0" collapsed="false">
      <c r="B4" s="4" t="s">
        <v>2</v>
      </c>
      <c r="C4" s="5" t="s">
        <v>3</v>
      </c>
    </row>
    <row r="6" customFormat="false" ht="103.5" hidden="false" customHeight="true" outlineLevel="0" collapsed="false">
      <c r="B6" s="4" t="s">
        <v>4</v>
      </c>
      <c r="C6" s="5" t="s">
        <v>5</v>
      </c>
    </row>
    <row r="8" customFormat="false" ht="145.5" hidden="false" customHeight="true" outlineLevel="0" collapsed="false">
      <c r="B8" s="4" t="s">
        <v>6</v>
      </c>
      <c r="C8" s="5" t="s">
        <v>7</v>
      </c>
    </row>
    <row r="10" customFormat="false" ht="90" hidden="false" customHeight="true" outlineLevel="0" collapsed="false">
      <c r="B10" s="4" t="s">
        <v>8</v>
      </c>
      <c r="C10" s="5" t="s">
        <v>9</v>
      </c>
    </row>
    <row r="12" customFormat="false" ht="75.75" hidden="false" customHeight="true" outlineLevel="0" collapsed="false">
      <c r="B12" s="4" t="s">
        <v>10</v>
      </c>
      <c r="C12" s="5" t="s">
        <v>11</v>
      </c>
    </row>
    <row r="14" customFormat="false" ht="103.5" hidden="false" customHeight="true" outlineLevel="0" collapsed="false">
      <c r="B14" s="4" t="s">
        <v>12</v>
      </c>
      <c r="C14" s="5" t="s">
        <v>13</v>
      </c>
    </row>
    <row r="16" customFormat="false" ht="61.5" hidden="false" customHeight="true" outlineLevel="0" collapsed="false">
      <c r="B16" s="4" t="s">
        <v>14</v>
      </c>
      <c r="C16" s="5" t="s">
        <v>15</v>
      </c>
    </row>
  </sheetData>
  <mergeCells count="2">
    <mergeCell ref="B1:C1"/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5" min="3" style="1" width="18"/>
    <col collapsed="false" customWidth="true" hidden="false" outlineLevel="0" max="6" min="6" style="1" width="35"/>
  </cols>
  <sheetData>
    <row r="1" customFormat="false" ht="31.5" hidden="false" customHeight="true" outlineLevel="0" collapsed="false">
      <c r="B1" s="6" t="s">
        <v>16</v>
      </c>
      <c r="C1" s="6"/>
      <c r="D1" s="6"/>
      <c r="E1" s="6"/>
      <c r="F1" s="6"/>
    </row>
    <row r="2" customFormat="false" ht="15" hidden="false" customHeight="true" outlineLevel="0" collapsed="false">
      <c r="B2" s="3" t="s">
        <v>17</v>
      </c>
      <c r="C2" s="3"/>
      <c r="D2" s="3"/>
      <c r="E2" s="3"/>
      <c r="F2" s="3"/>
    </row>
    <row r="4" customFormat="false" ht="21.75" hidden="false" customHeight="true" outlineLevel="0" collapsed="false"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</row>
    <row r="5" customFormat="false" ht="21.75" hidden="false" customHeight="true" outlineLevel="0" collapsed="false">
      <c r="B5" s="8" t="s">
        <v>23</v>
      </c>
      <c r="C5" s="9" t="n">
        <v>10000000</v>
      </c>
      <c r="D5" s="10" t="n">
        <v>10000000</v>
      </c>
      <c r="E5" s="11" t="n">
        <v>10000000</v>
      </c>
      <c r="F5" s="12" t="s">
        <v>24</v>
      </c>
    </row>
    <row r="6" customFormat="false" ht="21.75" hidden="false" customHeight="true" outlineLevel="0" collapsed="false">
      <c r="B6" s="13" t="s">
        <v>25</v>
      </c>
      <c r="C6" s="14" t="n">
        <v>0.08</v>
      </c>
      <c r="D6" s="15" t="n">
        <v>0.14</v>
      </c>
      <c r="E6" s="16" t="n">
        <v>0.02</v>
      </c>
      <c r="F6" s="17" t="s">
        <v>26</v>
      </c>
    </row>
    <row r="7" customFormat="false" ht="21.75" hidden="false" customHeight="true" outlineLevel="0" collapsed="false">
      <c r="B7" s="8" t="s">
        <v>27</v>
      </c>
      <c r="C7" s="14" t="n">
        <v>0.45</v>
      </c>
      <c r="D7" s="15" t="n">
        <v>0.48</v>
      </c>
      <c r="E7" s="16" t="n">
        <v>0.41</v>
      </c>
      <c r="F7" s="12" t="s">
        <v>28</v>
      </c>
    </row>
    <row r="8" customFormat="false" ht="21.75" hidden="false" customHeight="true" outlineLevel="0" collapsed="false">
      <c r="B8" s="13" t="s">
        <v>29</v>
      </c>
      <c r="C8" s="9" t="n">
        <v>3500000</v>
      </c>
      <c r="D8" s="10" t="n">
        <v>3500000</v>
      </c>
      <c r="E8" s="11" t="n">
        <v>3500000</v>
      </c>
      <c r="F8" s="17" t="s">
        <v>30</v>
      </c>
    </row>
    <row r="9" customFormat="false" ht="21.75" hidden="false" customHeight="true" outlineLevel="0" collapsed="false">
      <c r="B9" s="8" t="s">
        <v>31</v>
      </c>
      <c r="C9" s="14" t="n">
        <v>0.04</v>
      </c>
      <c r="D9" s="15" t="n">
        <v>0.03</v>
      </c>
      <c r="E9" s="16" t="n">
        <v>0.06</v>
      </c>
      <c r="F9" s="12" t="s">
        <v>32</v>
      </c>
    </row>
    <row r="10" customFormat="false" ht="21.75" hidden="false" customHeight="true" outlineLevel="0" collapsed="false">
      <c r="B10" s="13" t="s">
        <v>33</v>
      </c>
      <c r="C10" s="14" t="n">
        <v>0.265</v>
      </c>
      <c r="D10" s="15" t="n">
        <v>0.265</v>
      </c>
      <c r="E10" s="16" t="n">
        <v>0.265</v>
      </c>
      <c r="F10" s="17" t="s">
        <v>34</v>
      </c>
    </row>
    <row r="11" customFormat="false" ht="21.75" hidden="false" customHeight="true" outlineLevel="0" collapsed="false">
      <c r="B11" s="8" t="s">
        <v>35</v>
      </c>
      <c r="C11" s="9" t="n">
        <v>80000</v>
      </c>
      <c r="D11" s="10" t="n">
        <v>60000</v>
      </c>
      <c r="E11" s="11" t="n">
        <v>100000</v>
      </c>
      <c r="F11" s="12" t="s">
        <v>36</v>
      </c>
    </row>
    <row r="12" customFormat="false" ht="21.75" hidden="false" customHeight="true" outlineLevel="0" collapsed="false">
      <c r="B12" s="13" t="s">
        <v>37</v>
      </c>
      <c r="C12" s="14" t="n">
        <v>0.05</v>
      </c>
      <c r="D12" s="15" t="n">
        <v>0.04</v>
      </c>
      <c r="E12" s="16" t="n">
        <v>0.06</v>
      </c>
      <c r="F12" s="17" t="s">
        <v>38</v>
      </c>
    </row>
  </sheetData>
  <mergeCells count="2">
    <mergeCell ref="B1:F1"/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8" min="3" style="1" width="14"/>
  </cols>
  <sheetData>
    <row r="1" customFormat="false" ht="31.5" hidden="false" customHeight="true" outlineLevel="0" collapsed="false">
      <c r="B1" s="6" t="s">
        <v>39</v>
      </c>
      <c r="C1" s="6"/>
      <c r="D1" s="6"/>
      <c r="E1" s="6"/>
      <c r="F1" s="6"/>
      <c r="G1" s="6"/>
      <c r="H1" s="6"/>
    </row>
    <row r="2" customFormat="false" ht="15" hidden="false" customHeight="true" outlineLevel="0" collapsed="false">
      <c r="B2" s="3" t="s">
        <v>40</v>
      </c>
      <c r="C2" s="3"/>
      <c r="D2" s="3"/>
      <c r="E2" s="3"/>
      <c r="F2" s="3"/>
      <c r="G2" s="3"/>
      <c r="H2" s="3"/>
    </row>
    <row r="4" customFormat="false" ht="21.75" hidden="false" customHeight="true" outlineLevel="0" collapsed="false">
      <c r="B4" s="18" t="s">
        <v>41</v>
      </c>
      <c r="C4" s="18"/>
      <c r="D4" s="18"/>
      <c r="E4" s="18"/>
      <c r="F4" s="18"/>
      <c r="G4" s="18"/>
      <c r="H4" s="18"/>
    </row>
    <row r="5" customFormat="false" ht="19.5" hidden="false" customHeight="true" outlineLevel="0" collapsed="false">
      <c r="B5" s="19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</row>
    <row r="6" customFormat="false" ht="15" hidden="false" customHeight="true" outlineLevel="0" collapsed="false">
      <c r="B6" s="20" t="s">
        <v>49</v>
      </c>
      <c r="C6" s="21" t="n">
        <f aca="false">Drivers!C5</f>
        <v>10000000</v>
      </c>
      <c r="D6" s="22" t="n">
        <f aca="false">C6*(1+Drivers!C6)</f>
        <v>10800000</v>
      </c>
      <c r="E6" s="22" t="n">
        <f aca="false">D6*(1+Drivers!C6)</f>
        <v>11664000</v>
      </c>
      <c r="F6" s="22" t="n">
        <f aca="false">E6*(1+Drivers!C6)</f>
        <v>12597120</v>
      </c>
      <c r="G6" s="22" t="n">
        <f aca="false">F6*(1+Drivers!C6)</f>
        <v>13604889.6</v>
      </c>
      <c r="H6" s="22" t="n">
        <f aca="false">G6*(1+Drivers!C6)</f>
        <v>14693280.768</v>
      </c>
    </row>
    <row r="7" customFormat="false" ht="15" hidden="false" customHeight="true" outlineLevel="0" collapsed="false">
      <c r="B7" s="23" t="s">
        <v>50</v>
      </c>
      <c r="C7" s="22" t="n">
        <f aca="false">C6*Drivers!C7</f>
        <v>4500000</v>
      </c>
      <c r="D7" s="22" t="n">
        <f aca="false">D6*Drivers!C7</f>
        <v>4860000</v>
      </c>
      <c r="E7" s="22" t="n">
        <f aca="false">E6*Drivers!C7</f>
        <v>5248800</v>
      </c>
      <c r="F7" s="22" t="n">
        <f aca="false">F6*Drivers!C7</f>
        <v>5668704</v>
      </c>
      <c r="G7" s="22" t="n">
        <f aca="false">G6*Drivers!C7</f>
        <v>6122200.32</v>
      </c>
      <c r="H7" s="22" t="n">
        <f aca="false">H6*Drivers!C7</f>
        <v>6611976.3456</v>
      </c>
    </row>
    <row r="8" customFormat="false" ht="15" hidden="false" customHeight="true" outlineLevel="0" collapsed="false">
      <c r="B8" s="23" t="s">
        <v>51</v>
      </c>
      <c r="C8" s="21" t="n">
        <f aca="false">Drivers!C8</f>
        <v>3500000</v>
      </c>
      <c r="D8" s="22" t="n">
        <f aca="false">C8*(1+Drivers!C9)</f>
        <v>3640000</v>
      </c>
      <c r="E8" s="22" t="n">
        <f aca="false">D8*(1+Drivers!C9)</f>
        <v>3785600</v>
      </c>
      <c r="F8" s="22" t="n">
        <f aca="false">E8*(1+Drivers!C9)</f>
        <v>3937024</v>
      </c>
      <c r="G8" s="22" t="n">
        <f aca="false">F8*(1+Drivers!C9)</f>
        <v>4094504.96</v>
      </c>
      <c r="H8" s="22" t="n">
        <f aca="false">G8*(1+Drivers!C9)</f>
        <v>4258285.1584</v>
      </c>
    </row>
    <row r="9" customFormat="false" ht="15" hidden="false" customHeight="true" outlineLevel="0" collapsed="false">
      <c r="B9" s="20" t="s">
        <v>52</v>
      </c>
      <c r="C9" s="24" t="n">
        <f aca="false">C7-C8</f>
        <v>1000000</v>
      </c>
      <c r="D9" s="24" t="n">
        <f aca="false">D7-D8</f>
        <v>1220000</v>
      </c>
      <c r="E9" s="24" t="n">
        <f aca="false">E7-E8</f>
        <v>1463200</v>
      </c>
      <c r="F9" s="24" t="n">
        <f aca="false">F7-F8</f>
        <v>1731680</v>
      </c>
      <c r="G9" s="24" t="n">
        <f aca="false">G7-G8</f>
        <v>2027695.36</v>
      </c>
      <c r="H9" s="24" t="n">
        <f aca="false">H7-H8</f>
        <v>2353691.1872</v>
      </c>
    </row>
    <row r="10" customFormat="false" ht="15" hidden="false" customHeight="true" outlineLevel="0" collapsed="false">
      <c r="B10" s="23" t="s">
        <v>53</v>
      </c>
      <c r="C10" s="22" t="n">
        <f aca="false">Drivers!C11</f>
        <v>80000</v>
      </c>
      <c r="D10" s="22" t="n">
        <f aca="false">Drivers!C11</f>
        <v>80000</v>
      </c>
      <c r="E10" s="22" t="n">
        <f aca="false">Drivers!C11</f>
        <v>80000</v>
      </c>
      <c r="F10" s="22" t="n">
        <f aca="false">Drivers!C11</f>
        <v>80000</v>
      </c>
      <c r="G10" s="22" t="n">
        <f aca="false">Drivers!C11</f>
        <v>80000</v>
      </c>
      <c r="H10" s="22" t="n">
        <f aca="false">Drivers!C11</f>
        <v>80000</v>
      </c>
    </row>
    <row r="11" customFormat="false" ht="15" hidden="false" customHeight="true" outlineLevel="0" collapsed="false">
      <c r="B11" s="23" t="s">
        <v>54</v>
      </c>
      <c r="C11" s="22" t="n">
        <f aca="false">C9-C10</f>
        <v>920000</v>
      </c>
      <c r="D11" s="22" t="n">
        <f aca="false">D9-D10</f>
        <v>1140000</v>
      </c>
      <c r="E11" s="22" t="n">
        <f aca="false">E9-E10</f>
        <v>1383200</v>
      </c>
      <c r="F11" s="22" t="n">
        <f aca="false">F9-F10</f>
        <v>1651680</v>
      </c>
      <c r="G11" s="22" t="n">
        <f aca="false">G9-G10</f>
        <v>1947695.36</v>
      </c>
      <c r="H11" s="22" t="n">
        <f aca="false">H9-H10</f>
        <v>2273691.1872</v>
      </c>
    </row>
    <row r="12" customFormat="false" ht="15" hidden="false" customHeight="true" outlineLevel="0" collapsed="false">
      <c r="B12" s="23" t="s">
        <v>55</v>
      </c>
      <c r="C12" s="22" t="n">
        <f aca="false">MAX(0,C11*Drivers!C10)</f>
        <v>243800</v>
      </c>
      <c r="D12" s="22" t="n">
        <f aca="false">MAX(0,D11*Drivers!C10)</f>
        <v>302100</v>
      </c>
      <c r="E12" s="22" t="n">
        <f aca="false">MAX(0,E11*Drivers!C10)</f>
        <v>366548</v>
      </c>
      <c r="F12" s="22" t="n">
        <f aca="false">MAX(0,F11*Drivers!C10)</f>
        <v>437695.2</v>
      </c>
      <c r="G12" s="22" t="n">
        <f aca="false">MAX(0,G11*Drivers!C10)</f>
        <v>516139.2704</v>
      </c>
      <c r="H12" s="22" t="n">
        <f aca="false">MAX(0,H11*Drivers!C10)</f>
        <v>602528.164608</v>
      </c>
    </row>
    <row r="13" customFormat="false" ht="21.75" hidden="false" customHeight="true" outlineLevel="0" collapsed="false">
      <c r="B13" s="25" t="s">
        <v>56</v>
      </c>
      <c r="C13" s="26" t="n">
        <f aca="false">C11-C12</f>
        <v>676200</v>
      </c>
      <c r="D13" s="26" t="n">
        <f aca="false">D11-D12</f>
        <v>837900</v>
      </c>
      <c r="E13" s="26" t="n">
        <f aca="false">E11-E12</f>
        <v>1016652</v>
      </c>
      <c r="F13" s="26" t="n">
        <f aca="false">F11-F12</f>
        <v>1213984.8</v>
      </c>
      <c r="G13" s="26" t="n">
        <f aca="false">G11-G12</f>
        <v>1431556.0896</v>
      </c>
      <c r="H13" s="26" t="n">
        <f aca="false">H11-H12</f>
        <v>1671163.022592</v>
      </c>
    </row>
    <row r="15" customFormat="false" ht="21.75" hidden="false" customHeight="true" outlineLevel="0" collapsed="false">
      <c r="B15" s="18" t="s">
        <v>57</v>
      </c>
      <c r="C15" s="18"/>
      <c r="D15" s="18"/>
      <c r="E15" s="18"/>
      <c r="F15" s="18"/>
      <c r="G15" s="18"/>
      <c r="H15" s="18"/>
    </row>
    <row r="16" customFormat="false" ht="19.5" hidden="false" customHeight="true" outlineLevel="0" collapsed="false">
      <c r="B16" s="19" t="s">
        <v>42</v>
      </c>
      <c r="C16" s="7" t="s">
        <v>43</v>
      </c>
      <c r="D16" s="7" t="s">
        <v>44</v>
      </c>
      <c r="E16" s="7" t="s">
        <v>45</v>
      </c>
      <c r="F16" s="7" t="s">
        <v>46</v>
      </c>
      <c r="G16" s="7" t="s">
        <v>47</v>
      </c>
      <c r="H16" s="7" t="s">
        <v>48</v>
      </c>
    </row>
    <row r="17" customFormat="false" ht="15" hidden="false" customHeight="true" outlineLevel="0" collapsed="false">
      <c r="B17" s="27" t="s">
        <v>49</v>
      </c>
      <c r="C17" s="28" t="n">
        <f aca="false">Drivers!D5</f>
        <v>10000000</v>
      </c>
      <c r="D17" s="29" t="n">
        <f aca="false">C17*(1+Drivers!D6)</f>
        <v>11400000</v>
      </c>
      <c r="E17" s="29" t="n">
        <f aca="false">D17*(1+Drivers!D6)</f>
        <v>12996000</v>
      </c>
      <c r="F17" s="29" t="n">
        <f aca="false">E17*(1+Drivers!D6)</f>
        <v>14815440</v>
      </c>
      <c r="G17" s="29" t="n">
        <f aca="false">F17*(1+Drivers!D6)</f>
        <v>16889601.6</v>
      </c>
      <c r="H17" s="29" t="n">
        <f aca="false">G17*(1+Drivers!D6)</f>
        <v>19254145.824</v>
      </c>
    </row>
    <row r="18" customFormat="false" ht="15" hidden="false" customHeight="true" outlineLevel="0" collapsed="false">
      <c r="B18" s="30" t="s">
        <v>50</v>
      </c>
      <c r="C18" s="29" t="n">
        <f aca="false">C17*Drivers!D7</f>
        <v>4800000</v>
      </c>
      <c r="D18" s="29" t="n">
        <f aca="false">D17*Drivers!D7</f>
        <v>5472000</v>
      </c>
      <c r="E18" s="29" t="n">
        <f aca="false">E17*Drivers!D7</f>
        <v>6238080</v>
      </c>
      <c r="F18" s="29" t="n">
        <f aca="false">F17*Drivers!D7</f>
        <v>7111411.2</v>
      </c>
      <c r="G18" s="29" t="n">
        <f aca="false">G17*Drivers!D7</f>
        <v>8107008.768</v>
      </c>
      <c r="H18" s="29" t="n">
        <f aca="false">H17*Drivers!D7</f>
        <v>9241989.99552001</v>
      </c>
    </row>
    <row r="19" customFormat="false" ht="15" hidden="false" customHeight="true" outlineLevel="0" collapsed="false">
      <c r="B19" s="30" t="s">
        <v>51</v>
      </c>
      <c r="C19" s="28" t="n">
        <f aca="false">Drivers!D8</f>
        <v>3500000</v>
      </c>
      <c r="D19" s="29" t="n">
        <f aca="false">C19*(1+Drivers!D9)</f>
        <v>3605000</v>
      </c>
      <c r="E19" s="29" t="n">
        <f aca="false">D19*(1+Drivers!D9)</f>
        <v>3713150</v>
      </c>
      <c r="F19" s="29" t="n">
        <f aca="false">E19*(1+Drivers!D9)</f>
        <v>3824544.5</v>
      </c>
      <c r="G19" s="29" t="n">
        <f aca="false">F19*(1+Drivers!D9)</f>
        <v>3939280.835</v>
      </c>
      <c r="H19" s="29" t="n">
        <f aca="false">G19*(1+Drivers!D9)</f>
        <v>4057459.26005</v>
      </c>
    </row>
    <row r="20" customFormat="false" ht="15" hidden="false" customHeight="true" outlineLevel="0" collapsed="false">
      <c r="B20" s="27" t="s">
        <v>52</v>
      </c>
      <c r="C20" s="31" t="n">
        <f aca="false">C18-C19</f>
        <v>1300000</v>
      </c>
      <c r="D20" s="31" t="n">
        <f aca="false">D18-D19</f>
        <v>1867000</v>
      </c>
      <c r="E20" s="31" t="n">
        <f aca="false">E18-E19</f>
        <v>2524930</v>
      </c>
      <c r="F20" s="31" t="n">
        <f aca="false">F18-F19</f>
        <v>3286866.7</v>
      </c>
      <c r="G20" s="31" t="n">
        <f aca="false">G18-G19</f>
        <v>4167727.933</v>
      </c>
      <c r="H20" s="31" t="n">
        <f aca="false">H18-H19</f>
        <v>5184530.73547</v>
      </c>
    </row>
    <row r="21" customFormat="false" ht="15" hidden="false" customHeight="true" outlineLevel="0" collapsed="false">
      <c r="B21" s="30" t="s">
        <v>53</v>
      </c>
      <c r="C21" s="29" t="n">
        <f aca="false">Drivers!D11</f>
        <v>60000</v>
      </c>
      <c r="D21" s="29" t="n">
        <f aca="false">Drivers!D11</f>
        <v>60000</v>
      </c>
      <c r="E21" s="29" t="n">
        <f aca="false">Drivers!D11</f>
        <v>60000</v>
      </c>
      <c r="F21" s="29" t="n">
        <f aca="false">Drivers!D11</f>
        <v>60000</v>
      </c>
      <c r="G21" s="29" t="n">
        <f aca="false">Drivers!D11</f>
        <v>60000</v>
      </c>
      <c r="H21" s="29" t="n">
        <f aca="false">Drivers!D11</f>
        <v>60000</v>
      </c>
    </row>
    <row r="22" customFormat="false" ht="15" hidden="false" customHeight="true" outlineLevel="0" collapsed="false">
      <c r="B22" s="30" t="s">
        <v>54</v>
      </c>
      <c r="C22" s="29" t="n">
        <f aca="false">C20-C21</f>
        <v>1240000</v>
      </c>
      <c r="D22" s="29" t="n">
        <f aca="false">D20-D21</f>
        <v>1807000</v>
      </c>
      <c r="E22" s="29" t="n">
        <f aca="false">E20-E21</f>
        <v>2464930</v>
      </c>
      <c r="F22" s="29" t="n">
        <f aca="false">F20-F21</f>
        <v>3226866.7</v>
      </c>
      <c r="G22" s="29" t="n">
        <f aca="false">G20-G21</f>
        <v>4107727.933</v>
      </c>
      <c r="H22" s="29" t="n">
        <f aca="false">H20-H21</f>
        <v>5124530.73547</v>
      </c>
    </row>
    <row r="23" customFormat="false" ht="15" hidden="false" customHeight="true" outlineLevel="0" collapsed="false">
      <c r="B23" s="30" t="s">
        <v>55</v>
      </c>
      <c r="C23" s="29" t="n">
        <f aca="false">MAX(0,C22*Drivers!D10)</f>
        <v>328600</v>
      </c>
      <c r="D23" s="29" t="n">
        <f aca="false">MAX(0,D22*Drivers!D10)</f>
        <v>478855</v>
      </c>
      <c r="E23" s="29" t="n">
        <f aca="false">MAX(0,E22*Drivers!D10)</f>
        <v>653206.450000001</v>
      </c>
      <c r="F23" s="29" t="n">
        <f aca="false">MAX(0,F22*Drivers!D10)</f>
        <v>855119.675500001</v>
      </c>
      <c r="G23" s="29" t="n">
        <f aca="false">MAX(0,G22*Drivers!D10)</f>
        <v>1088547.902245</v>
      </c>
      <c r="H23" s="29" t="n">
        <f aca="false">MAX(0,H22*Drivers!D10)</f>
        <v>1358000.64489955</v>
      </c>
    </row>
    <row r="24" customFormat="false" ht="21.75" hidden="false" customHeight="true" outlineLevel="0" collapsed="false">
      <c r="B24" s="25" t="s">
        <v>56</v>
      </c>
      <c r="C24" s="26" t="n">
        <f aca="false">C22-C23</f>
        <v>911400</v>
      </c>
      <c r="D24" s="26" t="n">
        <f aca="false">D22-D23</f>
        <v>1328145</v>
      </c>
      <c r="E24" s="26" t="n">
        <f aca="false">E22-E23</f>
        <v>1811723.55</v>
      </c>
      <c r="F24" s="26" t="n">
        <f aca="false">F22-F23</f>
        <v>2371747.0245</v>
      </c>
      <c r="G24" s="26" t="n">
        <f aca="false">G22-G23</f>
        <v>3019180.030755</v>
      </c>
      <c r="H24" s="26" t="n">
        <f aca="false">H22-H23</f>
        <v>3766530.09057045</v>
      </c>
    </row>
    <row r="26" customFormat="false" ht="21.75" hidden="false" customHeight="true" outlineLevel="0" collapsed="false">
      <c r="B26" s="18" t="s">
        <v>58</v>
      </c>
      <c r="C26" s="18"/>
      <c r="D26" s="18"/>
      <c r="E26" s="18"/>
      <c r="F26" s="18"/>
      <c r="G26" s="18"/>
      <c r="H26" s="18"/>
    </row>
    <row r="27" customFormat="false" ht="19.5" hidden="false" customHeight="true" outlineLevel="0" collapsed="false">
      <c r="B27" s="19" t="s">
        <v>42</v>
      </c>
      <c r="C27" s="7" t="s">
        <v>43</v>
      </c>
      <c r="D27" s="7" t="s">
        <v>44</v>
      </c>
      <c r="E27" s="7" t="s">
        <v>45</v>
      </c>
      <c r="F27" s="7" t="s">
        <v>46</v>
      </c>
      <c r="G27" s="7" t="s">
        <v>47</v>
      </c>
      <c r="H27" s="7" t="s">
        <v>48</v>
      </c>
    </row>
    <row r="28" customFormat="false" ht="15" hidden="false" customHeight="true" outlineLevel="0" collapsed="false">
      <c r="B28" s="32" t="s">
        <v>49</v>
      </c>
      <c r="C28" s="33" t="n">
        <f aca="false">Drivers!E5</f>
        <v>10000000</v>
      </c>
      <c r="D28" s="34" t="n">
        <f aca="false">C28*(1+Drivers!E6)</f>
        <v>10200000</v>
      </c>
      <c r="E28" s="34" t="n">
        <f aca="false">D28*(1+Drivers!E6)</f>
        <v>10404000</v>
      </c>
      <c r="F28" s="34" t="n">
        <f aca="false">E28*(1+Drivers!E6)</f>
        <v>10612080</v>
      </c>
      <c r="G28" s="34" t="n">
        <f aca="false">F28*(1+Drivers!E6)</f>
        <v>10824321.6</v>
      </c>
      <c r="H28" s="34" t="n">
        <f aca="false">G28*(1+Drivers!E6)</f>
        <v>11040808.032</v>
      </c>
    </row>
    <row r="29" customFormat="false" ht="15" hidden="false" customHeight="true" outlineLevel="0" collapsed="false">
      <c r="B29" s="35" t="s">
        <v>50</v>
      </c>
      <c r="C29" s="34" t="n">
        <f aca="false">C28*Drivers!E7</f>
        <v>4100000</v>
      </c>
      <c r="D29" s="34" t="n">
        <f aca="false">D28*Drivers!E7</f>
        <v>4182000</v>
      </c>
      <c r="E29" s="34" t="n">
        <f aca="false">E28*Drivers!E7</f>
        <v>4265640</v>
      </c>
      <c r="F29" s="34" t="n">
        <f aca="false">F28*Drivers!E7</f>
        <v>4350952.8</v>
      </c>
      <c r="G29" s="34" t="n">
        <f aca="false">G28*Drivers!E7</f>
        <v>4437971.856</v>
      </c>
      <c r="H29" s="34" t="n">
        <f aca="false">H28*Drivers!E7</f>
        <v>4526731.29312</v>
      </c>
    </row>
    <row r="30" customFormat="false" ht="15" hidden="false" customHeight="true" outlineLevel="0" collapsed="false">
      <c r="B30" s="35" t="s">
        <v>51</v>
      </c>
      <c r="C30" s="33" t="n">
        <f aca="false">Drivers!E8</f>
        <v>3500000</v>
      </c>
      <c r="D30" s="34" t="n">
        <f aca="false">C30*(1+Drivers!E9)</f>
        <v>3710000</v>
      </c>
      <c r="E30" s="34" t="n">
        <f aca="false">D30*(1+Drivers!E9)</f>
        <v>3932600</v>
      </c>
      <c r="F30" s="34" t="n">
        <f aca="false">E30*(1+Drivers!E9)</f>
        <v>4168556</v>
      </c>
      <c r="G30" s="34" t="n">
        <f aca="false">F30*(1+Drivers!E9)</f>
        <v>4418669.36</v>
      </c>
      <c r="H30" s="34" t="n">
        <f aca="false">G30*(1+Drivers!E9)</f>
        <v>4683789.5216</v>
      </c>
    </row>
    <row r="31" customFormat="false" ht="15" hidden="false" customHeight="true" outlineLevel="0" collapsed="false">
      <c r="B31" s="32" t="s">
        <v>52</v>
      </c>
      <c r="C31" s="36" t="n">
        <f aca="false">C29-C30</f>
        <v>600000</v>
      </c>
      <c r="D31" s="36" t="n">
        <f aca="false">D29-D30</f>
        <v>472000</v>
      </c>
      <c r="E31" s="36" t="n">
        <f aca="false">E29-E30</f>
        <v>333040</v>
      </c>
      <c r="F31" s="36" t="n">
        <f aca="false">F29-F30</f>
        <v>182396.8</v>
      </c>
      <c r="G31" s="36" t="n">
        <f aca="false">G29-G30</f>
        <v>19302.4959999993</v>
      </c>
      <c r="H31" s="36" t="n">
        <f aca="false">H29-H30</f>
        <v>-157058.228480001</v>
      </c>
    </row>
    <row r="32" customFormat="false" ht="15" hidden="false" customHeight="true" outlineLevel="0" collapsed="false">
      <c r="B32" s="35" t="s">
        <v>53</v>
      </c>
      <c r="C32" s="34" t="n">
        <f aca="false">Drivers!E11</f>
        <v>100000</v>
      </c>
      <c r="D32" s="34" t="n">
        <f aca="false">Drivers!E11</f>
        <v>100000</v>
      </c>
      <c r="E32" s="34" t="n">
        <f aca="false">Drivers!E11</f>
        <v>100000</v>
      </c>
      <c r="F32" s="34" t="n">
        <f aca="false">Drivers!E11</f>
        <v>100000</v>
      </c>
      <c r="G32" s="34" t="n">
        <f aca="false">Drivers!E11</f>
        <v>100000</v>
      </c>
      <c r="H32" s="34" t="n">
        <f aca="false">Drivers!E11</f>
        <v>100000</v>
      </c>
    </row>
    <row r="33" customFormat="false" ht="15" hidden="false" customHeight="true" outlineLevel="0" collapsed="false">
      <c r="B33" s="35" t="s">
        <v>54</v>
      </c>
      <c r="C33" s="34" t="n">
        <f aca="false">C31-C32</f>
        <v>500000</v>
      </c>
      <c r="D33" s="34" t="n">
        <f aca="false">D31-D32</f>
        <v>372000</v>
      </c>
      <c r="E33" s="34" t="n">
        <f aca="false">E31-E32</f>
        <v>233040</v>
      </c>
      <c r="F33" s="34" t="n">
        <f aca="false">F31-F32</f>
        <v>82396.7999999998</v>
      </c>
      <c r="G33" s="34" t="n">
        <f aca="false">G31-G32</f>
        <v>-80697.5040000007</v>
      </c>
      <c r="H33" s="34" t="n">
        <f aca="false">H31-H32</f>
        <v>-257058.228480001</v>
      </c>
    </row>
    <row r="34" customFormat="false" ht="15" hidden="false" customHeight="true" outlineLevel="0" collapsed="false">
      <c r="B34" s="35" t="s">
        <v>55</v>
      </c>
      <c r="C34" s="34" t="n">
        <f aca="false">MAX(0,C33*Drivers!E10)</f>
        <v>132500</v>
      </c>
      <c r="D34" s="34" t="n">
        <f aca="false">MAX(0,D33*Drivers!E10)</f>
        <v>98579.9999999999</v>
      </c>
      <c r="E34" s="34" t="n">
        <f aca="false">MAX(0,E33*Drivers!E10)</f>
        <v>61755.6</v>
      </c>
      <c r="F34" s="34" t="n">
        <f aca="false">MAX(0,F33*Drivers!E10)</f>
        <v>21835.152</v>
      </c>
      <c r="G34" s="34" t="n">
        <f aca="false">MAX(0,G33*Drivers!E10)</f>
        <v>0</v>
      </c>
      <c r="H34" s="34" t="n">
        <f aca="false">MAX(0,H33*Drivers!E10)</f>
        <v>0</v>
      </c>
    </row>
    <row r="35" customFormat="false" ht="21.75" hidden="false" customHeight="true" outlineLevel="0" collapsed="false">
      <c r="B35" s="25" t="s">
        <v>56</v>
      </c>
      <c r="C35" s="26" t="n">
        <f aca="false">C33-C34</f>
        <v>367500</v>
      </c>
      <c r="D35" s="26" t="n">
        <f aca="false">D33-D34</f>
        <v>273420</v>
      </c>
      <c r="E35" s="26" t="n">
        <f aca="false">E33-E34</f>
        <v>171284.4</v>
      </c>
      <c r="F35" s="26" t="n">
        <f aca="false">F33-F34</f>
        <v>60561.6479999999</v>
      </c>
      <c r="G35" s="26" t="n">
        <f aca="false">G33-G34</f>
        <v>-80697.5040000007</v>
      </c>
      <c r="H35" s="26" t="n">
        <f aca="false">H33-H34</f>
        <v>-257058.228480001</v>
      </c>
    </row>
  </sheetData>
  <mergeCells count="5">
    <mergeCell ref="B1:H1"/>
    <mergeCell ref="B2:H2"/>
    <mergeCell ref="B4:H4"/>
    <mergeCell ref="B15:H15"/>
    <mergeCell ref="B26:H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8" min="3" style="1" width="14"/>
  </cols>
  <sheetData>
    <row r="1" customFormat="false" ht="31.5" hidden="false" customHeight="true" outlineLevel="0" collapsed="false">
      <c r="B1" s="6" t="s">
        <v>59</v>
      </c>
      <c r="C1" s="6"/>
      <c r="D1" s="6"/>
      <c r="E1" s="6"/>
      <c r="F1" s="6"/>
      <c r="G1" s="6"/>
      <c r="H1" s="6"/>
    </row>
    <row r="3" customFormat="false" ht="15" hidden="false" customHeight="true" outlineLevel="0" collapsed="false">
      <c r="B3" s="18" t="s">
        <v>60</v>
      </c>
      <c r="C3" s="18"/>
      <c r="D3" s="18"/>
      <c r="E3" s="18"/>
      <c r="F3" s="18"/>
      <c r="G3" s="18"/>
      <c r="H3" s="18"/>
    </row>
    <row r="4" customFormat="false" ht="19.5" hidden="false" customHeight="true" outlineLevel="0" collapsed="false">
      <c r="B4" s="19" t="s">
        <v>61</v>
      </c>
      <c r="C4" s="7" t="s">
        <v>43</v>
      </c>
      <c r="D4" s="7" t="s">
        <v>44</v>
      </c>
      <c r="E4" s="7" t="s">
        <v>45</v>
      </c>
      <c r="F4" s="7" t="s">
        <v>46</v>
      </c>
      <c r="G4" s="7" t="s">
        <v>47</v>
      </c>
      <c r="H4" s="7" t="s">
        <v>48</v>
      </c>
    </row>
    <row r="5" customFormat="false" ht="19.5" hidden="false" customHeight="true" outlineLevel="0" collapsed="false">
      <c r="B5" s="20" t="s">
        <v>19</v>
      </c>
      <c r="C5" s="21" t="n">
        <f aca="false">Forecast!C13</f>
        <v>676200</v>
      </c>
      <c r="D5" s="21" t="n">
        <f aca="false">Forecast!D13</f>
        <v>837900</v>
      </c>
      <c r="E5" s="21" t="n">
        <f aca="false">Forecast!E13</f>
        <v>1016652</v>
      </c>
      <c r="F5" s="21" t="n">
        <f aca="false">Forecast!F13</f>
        <v>1213984.8</v>
      </c>
      <c r="G5" s="21" t="n">
        <f aca="false">Forecast!G13</f>
        <v>1431556.0896</v>
      </c>
      <c r="H5" s="21" t="n">
        <f aca="false">Forecast!H13</f>
        <v>1671163.022592</v>
      </c>
    </row>
    <row r="6" customFormat="false" ht="19.5" hidden="false" customHeight="true" outlineLevel="0" collapsed="false">
      <c r="B6" s="27" t="s">
        <v>20</v>
      </c>
      <c r="C6" s="28" t="n">
        <f aca="false">Forecast!C24</f>
        <v>911400</v>
      </c>
      <c r="D6" s="28" t="n">
        <f aca="false">Forecast!D24</f>
        <v>1328145</v>
      </c>
      <c r="E6" s="28" t="n">
        <f aca="false">Forecast!E24</f>
        <v>1811723.55</v>
      </c>
      <c r="F6" s="28" t="n">
        <f aca="false">Forecast!F24</f>
        <v>2371747.0245</v>
      </c>
      <c r="G6" s="28" t="n">
        <f aca="false">Forecast!G24</f>
        <v>3019180.030755</v>
      </c>
      <c r="H6" s="28" t="n">
        <f aca="false">Forecast!H24</f>
        <v>3766530.09057045</v>
      </c>
    </row>
    <row r="7" customFormat="false" ht="19.5" hidden="false" customHeight="true" outlineLevel="0" collapsed="false">
      <c r="B7" s="32" t="s">
        <v>21</v>
      </c>
      <c r="C7" s="33" t="n">
        <f aca="false">Forecast!C35</f>
        <v>367500</v>
      </c>
      <c r="D7" s="33" t="n">
        <f aca="false">Forecast!D35</f>
        <v>273420</v>
      </c>
      <c r="E7" s="33" t="n">
        <f aca="false">Forecast!E35</f>
        <v>171284.4</v>
      </c>
      <c r="F7" s="33" t="n">
        <f aca="false">Forecast!F35</f>
        <v>60561.6479999999</v>
      </c>
      <c r="G7" s="33" t="n">
        <f aca="false">Forecast!G35</f>
        <v>-80697.5040000007</v>
      </c>
      <c r="H7" s="33" t="n">
        <f aca="false">Forecast!H35</f>
        <v>-257058.228480001</v>
      </c>
    </row>
    <row r="9" customFormat="false" ht="15" hidden="false" customHeight="true" outlineLevel="0" collapsed="false">
      <c r="B9" s="18" t="s">
        <v>62</v>
      </c>
      <c r="C9" s="18"/>
      <c r="D9" s="18"/>
      <c r="E9" s="18"/>
      <c r="F9" s="18"/>
      <c r="G9" s="18"/>
      <c r="H9" s="18"/>
    </row>
    <row r="10" customFormat="false" ht="19.5" hidden="false" customHeight="true" outlineLevel="0" collapsed="false">
      <c r="B10" s="19" t="s">
        <v>61</v>
      </c>
      <c r="C10" s="7" t="s">
        <v>43</v>
      </c>
      <c r="D10" s="7" t="s">
        <v>44</v>
      </c>
      <c r="E10" s="7" t="s">
        <v>45</v>
      </c>
      <c r="F10" s="7" t="s">
        <v>46</v>
      </c>
      <c r="G10" s="7" t="s">
        <v>47</v>
      </c>
      <c r="H10" s="7" t="s">
        <v>48</v>
      </c>
    </row>
    <row r="11" customFormat="false" ht="19.5" hidden="false" customHeight="true" outlineLevel="0" collapsed="false">
      <c r="B11" s="20" t="s">
        <v>19</v>
      </c>
      <c r="C11" s="21" t="n">
        <f aca="false">Forecast!C6</f>
        <v>10000000</v>
      </c>
      <c r="D11" s="21" t="n">
        <f aca="false">Forecast!D6</f>
        <v>10800000</v>
      </c>
      <c r="E11" s="21" t="n">
        <f aca="false">Forecast!E6</f>
        <v>11664000</v>
      </c>
      <c r="F11" s="21" t="n">
        <f aca="false">Forecast!F6</f>
        <v>12597120</v>
      </c>
      <c r="G11" s="21" t="n">
        <f aca="false">Forecast!G6</f>
        <v>13604889.6</v>
      </c>
      <c r="H11" s="21" t="n">
        <f aca="false">Forecast!H6</f>
        <v>14693280.768</v>
      </c>
    </row>
    <row r="12" customFormat="false" ht="19.5" hidden="false" customHeight="true" outlineLevel="0" collapsed="false">
      <c r="B12" s="27" t="s">
        <v>20</v>
      </c>
      <c r="C12" s="28" t="n">
        <f aca="false">Forecast!C17</f>
        <v>10000000</v>
      </c>
      <c r="D12" s="28" t="n">
        <f aca="false">Forecast!D17</f>
        <v>11400000</v>
      </c>
      <c r="E12" s="28" t="n">
        <f aca="false">Forecast!E17</f>
        <v>12996000</v>
      </c>
      <c r="F12" s="28" t="n">
        <f aca="false">Forecast!F17</f>
        <v>14815440</v>
      </c>
      <c r="G12" s="28" t="n">
        <f aca="false">Forecast!G17</f>
        <v>16889601.6</v>
      </c>
      <c r="H12" s="28" t="n">
        <f aca="false">Forecast!H17</f>
        <v>19254145.824</v>
      </c>
    </row>
    <row r="13" customFormat="false" ht="19.5" hidden="false" customHeight="true" outlineLevel="0" collapsed="false">
      <c r="B13" s="32" t="s">
        <v>21</v>
      </c>
      <c r="C13" s="33" t="n">
        <f aca="false">Forecast!C28</f>
        <v>10000000</v>
      </c>
      <c r="D13" s="33" t="n">
        <f aca="false">Forecast!D28</f>
        <v>10200000</v>
      </c>
      <c r="E13" s="33" t="n">
        <f aca="false">Forecast!E28</f>
        <v>10404000</v>
      </c>
      <c r="F13" s="33" t="n">
        <f aca="false">Forecast!F28</f>
        <v>10612080</v>
      </c>
      <c r="G13" s="33" t="n">
        <f aca="false">Forecast!G28</f>
        <v>10824321.6</v>
      </c>
      <c r="H13" s="33" t="n">
        <f aca="false">Forecast!H28</f>
        <v>11040808.032</v>
      </c>
    </row>
    <row r="16" customFormat="false" ht="15" hidden="false" customHeight="true" outlineLevel="0" collapsed="false">
      <c r="B16" s="18" t="s">
        <v>63</v>
      </c>
      <c r="C16" s="18"/>
      <c r="D16" s="18"/>
      <c r="E16" s="18"/>
      <c r="F16" s="18"/>
      <c r="G16" s="18"/>
      <c r="H16" s="18"/>
    </row>
    <row r="17" customFormat="false" ht="15" hidden="false" customHeight="true" outlineLevel="0" collapsed="false">
      <c r="B17" s="19" t="s">
        <v>64</v>
      </c>
      <c r="C17" s="7" t="s">
        <v>19</v>
      </c>
      <c r="D17" s="7" t="s">
        <v>20</v>
      </c>
      <c r="E17" s="7" t="s">
        <v>21</v>
      </c>
      <c r="F17" s="7" t="s">
        <v>65</v>
      </c>
      <c r="G17" s="7" t="s">
        <v>66</v>
      </c>
      <c r="H17" s="7" t="s">
        <v>67</v>
      </c>
    </row>
    <row r="18" customFormat="false" ht="21.75" hidden="false" customHeight="true" outlineLevel="0" collapsed="false">
      <c r="B18" s="37" t="s">
        <v>68</v>
      </c>
      <c r="C18" s="38" t="n">
        <f aca="false">Forecast!H13</f>
        <v>1671163.022592</v>
      </c>
      <c r="D18" s="38" t="n">
        <f aca="false">Forecast!H24</f>
        <v>3766530.09057045</v>
      </c>
      <c r="E18" s="38" t="n">
        <f aca="false">Forecast!H35</f>
        <v>-257058.228480001</v>
      </c>
      <c r="F18" s="38" t="n">
        <f aca="false">D18-C18</f>
        <v>2095367.06797845</v>
      </c>
      <c r="G18" s="38" t="n">
        <f aca="false">E18-C18</f>
        <v>-1928221.251072</v>
      </c>
      <c r="H18" s="39" t="n">
        <f aca="false">D18-E18</f>
        <v>4023588.31905045</v>
      </c>
    </row>
  </sheetData>
  <mergeCells count="4">
    <mergeCell ref="B1:H1"/>
    <mergeCell ref="B3:H3"/>
    <mergeCell ref="B9:H9"/>
    <mergeCell ref="B16:H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7" min="3" style="1" width="16"/>
  </cols>
  <sheetData>
    <row r="1" customFormat="false" ht="31.5" hidden="false" customHeight="true" outlineLevel="0" collapsed="false">
      <c r="B1" s="6" t="s">
        <v>69</v>
      </c>
      <c r="C1" s="6"/>
      <c r="D1" s="6"/>
      <c r="E1" s="6"/>
      <c r="F1" s="6"/>
      <c r="G1" s="6"/>
    </row>
    <row r="2" customFormat="false" ht="15" hidden="false" customHeight="true" outlineLevel="0" collapsed="false">
      <c r="B2" s="3" t="s">
        <v>70</v>
      </c>
      <c r="C2" s="3"/>
      <c r="D2" s="3"/>
      <c r="E2" s="3"/>
      <c r="F2" s="3"/>
      <c r="G2" s="3"/>
    </row>
    <row r="4" customFormat="false" ht="19.5" hidden="false" customHeight="true" outlineLevel="0" collapsed="false">
      <c r="B4" s="7" t="s">
        <v>18</v>
      </c>
      <c r="C4" s="7" t="s">
        <v>71</v>
      </c>
      <c r="D4" s="7" t="s">
        <v>72</v>
      </c>
      <c r="E4" s="7" t="s">
        <v>73</v>
      </c>
      <c r="F4" s="7" t="s">
        <v>67</v>
      </c>
      <c r="G4" s="7" t="s">
        <v>74</v>
      </c>
    </row>
    <row r="5" customFormat="false" ht="21.75" hidden="false" customHeight="true" outlineLevel="0" collapsed="false">
      <c r="B5" s="8" t="s">
        <v>75</v>
      </c>
      <c r="C5" s="40" t="n">
        <f aca="false">Drivers!C5</f>
        <v>10000000</v>
      </c>
      <c r="D5" s="41" t="n">
        <f aca="false">((Drivers!C5*0.9)*(1+Drivers!C6)^5*Drivers!C7-Drivers!C8*(1+Drivers!C9)^5-Drivers!C11)*(1-Drivers!C10)</f>
        <v>1185182.7611904</v>
      </c>
      <c r="E5" s="41" t="n">
        <f aca="false">((Drivers!C5*1.1)*(1+Drivers!C6)^5*Drivers!C7-Drivers!C8*(1+Drivers!C9)^5-Drivers!C11)*(1-Drivers!C10)</f>
        <v>2157143.2839936</v>
      </c>
      <c r="F5" s="42" t="n">
        <f aca="false">ABS(E5-D5)</f>
        <v>971960.522803201</v>
      </c>
      <c r="G5" s="43" t="n">
        <f aca="false">F5/$C$14</f>
        <v>0.581607245770478</v>
      </c>
    </row>
    <row r="6" customFormat="false" ht="21.75" hidden="false" customHeight="true" outlineLevel="0" collapsed="false">
      <c r="B6" s="13" t="s">
        <v>76</v>
      </c>
      <c r="C6" s="44" t="n">
        <f aca="false">Drivers!C6</f>
        <v>0.08</v>
      </c>
      <c r="D6" s="45" t="n">
        <f aca="false">(Drivers!C5*(1+Drivers!C6*0.9)^5*Drivers!C7-Drivers!C8*(1+Drivers!C9)^5-Drivers!C11)*(1-Drivers!C10)</f>
        <v>1493817.21230967</v>
      </c>
      <c r="E6" s="45" t="n">
        <f aca="false">(Drivers!C5*(1+Drivers!C6*1.1)^5*Drivers!C7-Drivers!C8*(1+Drivers!C9)^5-Drivers!C11)*(1-Drivers!C10)</f>
        <v>1853842.09591075</v>
      </c>
      <c r="F6" s="46" t="n">
        <f aca="false">ABS(E6-D6)</f>
        <v>360024.883601081</v>
      </c>
      <c r="G6" s="47" t="n">
        <f aca="false">F6/$C$14</f>
        <v>0.215433730123275</v>
      </c>
    </row>
    <row r="7" customFormat="false" ht="21.75" hidden="false" customHeight="true" outlineLevel="0" collapsed="false">
      <c r="B7" s="8" t="s">
        <v>27</v>
      </c>
      <c r="C7" s="48" t="n">
        <f aca="false">Drivers!C7</f>
        <v>0.45</v>
      </c>
      <c r="D7" s="41" t="n">
        <f aca="false">(Drivers!C5*(1+Drivers!C6)^5*Drivers!C7*0.9-Drivers!C8*(1+Drivers!C9)^5-Drivers!C11)*(1-Drivers!C10)</f>
        <v>1185182.7611904</v>
      </c>
      <c r="E7" s="41" t="n">
        <f aca="false">(Drivers!C5*(1+Drivers!C6)^5*Drivers!C7*1.1-Drivers!C8*(1+Drivers!C9)^5-Drivers!C11)*(1-Drivers!C10)</f>
        <v>2157143.2839936</v>
      </c>
      <c r="F7" s="42" t="n">
        <f aca="false">ABS(E7-D7)</f>
        <v>971960.522803201</v>
      </c>
      <c r="G7" s="43" t="n">
        <f aca="false">F7/$C$14</f>
        <v>0.581607245770478</v>
      </c>
    </row>
    <row r="8" customFormat="false" ht="21.75" hidden="false" customHeight="true" outlineLevel="0" collapsed="false">
      <c r="B8" s="13" t="s">
        <v>77</v>
      </c>
      <c r="C8" s="49" t="n">
        <f aca="false">Drivers!C8</f>
        <v>3500000</v>
      </c>
      <c r="D8" s="45" t="n">
        <f aca="false">(Drivers!C5*(1+Drivers!C6)^5*Drivers!C7-Drivers!C8*0.9*(1+Drivers!C9)^5-Drivers!C11)*(1-Drivers!C10)</f>
        <v>1984146.9817344</v>
      </c>
      <c r="E8" s="45" t="n">
        <f aca="false">(Drivers!C5*(1+Drivers!C6)^5*Drivers!C7-Drivers!C8*1.1*(1+Drivers!C9)^5-Drivers!C11)*(1-Drivers!C10)</f>
        <v>1358179.0634496</v>
      </c>
      <c r="F8" s="46" t="n">
        <f aca="false">ABS(E8-D8)</f>
        <v>625967.918284801</v>
      </c>
      <c r="G8" s="47" t="n">
        <f aca="false">F8/$C$14</f>
        <v>0.374570230326132</v>
      </c>
    </row>
    <row r="9" customFormat="false" ht="21.75" hidden="false" customHeight="true" outlineLevel="0" collapsed="false">
      <c r="B9" s="8" t="s">
        <v>78</v>
      </c>
      <c r="C9" s="48" t="n">
        <f aca="false">Drivers!C9</f>
        <v>0.04</v>
      </c>
      <c r="D9" s="41" t="n">
        <f aca="false">(Drivers!C5*(1+Drivers!C6)^5*Drivers!C7-Drivers!C8*(1+Drivers!C9*0.9)^5-Drivers!C11)*(1-Drivers!C10)</f>
        <v>1730891.02880596</v>
      </c>
      <c r="E9" s="41" t="n">
        <f aca="false">(Drivers!C5*(1+Drivers!C6)^5*Drivers!C7-Drivers!C8*(1+Drivers!C9*1.1)^5-Drivers!C11)*(1-Drivers!C10)</f>
        <v>1610509.02148421</v>
      </c>
      <c r="F9" s="42" t="n">
        <f aca="false">ABS(E9-D9)</f>
        <v>120382.007321749</v>
      </c>
      <c r="G9" s="43" t="n">
        <f aca="false">F9/$C$14</f>
        <v>0.0720348677503853</v>
      </c>
    </row>
    <row r="10" customFormat="false" ht="21.75" hidden="false" customHeight="true" outlineLevel="0" collapsed="false">
      <c r="B10" s="13" t="s">
        <v>33</v>
      </c>
      <c r="C10" s="44" t="n">
        <f aca="false">Drivers!C10</f>
        <v>0.265</v>
      </c>
      <c r="D10" s="45" t="n">
        <f aca="false">(Drivers!C5*(1+Drivers!C6)^5*Drivers!C7-Drivers!C8*(1+Drivers!C9)^5-Drivers!C11)*(1-Drivers!C10*0.9)</f>
        <v>1731415.8390528</v>
      </c>
      <c r="E10" s="45" t="n">
        <f aca="false">(Drivers!C5*(1+Drivers!C6)^5*Drivers!C7-Drivers!C8*(1+Drivers!C9)^5-Drivers!C11)*(1-Drivers!C10*1.1)</f>
        <v>1610910.2061312</v>
      </c>
      <c r="F10" s="46" t="n">
        <f aca="false">ABS(E10-D10)</f>
        <v>120505.6329216</v>
      </c>
      <c r="G10" s="47" t="n">
        <f aca="false">F10/$C$14</f>
        <v>0.0721088435374151</v>
      </c>
    </row>
    <row r="11" customFormat="false" ht="21.75" hidden="false" customHeight="true" outlineLevel="0" collapsed="false">
      <c r="B11" s="8" t="s">
        <v>53</v>
      </c>
      <c r="C11" s="40" t="n">
        <f aca="false">Drivers!C11</f>
        <v>80000</v>
      </c>
      <c r="D11" s="41" t="n">
        <f aca="false">(Drivers!C5*(1+Drivers!C6)^5*Drivers!C7-Drivers!C8*(1+Drivers!C9)^5-Drivers!C11*0.9)*(1-Drivers!C10)</f>
        <v>1677043.022592</v>
      </c>
      <c r="E11" s="41" t="n">
        <f aca="false">(Drivers!C5*(1+Drivers!C6)^5*Drivers!C7-Drivers!C8*(1+Drivers!C9)^5-Drivers!C11*1.1)*(1-Drivers!C10)</f>
        <v>1665283.022592</v>
      </c>
      <c r="F11" s="42" t="n">
        <f aca="false">ABS(E11-D11)</f>
        <v>11760</v>
      </c>
      <c r="G11" s="43" t="n">
        <f aca="false">F11/$C$14</f>
        <v>0.00703701544434609</v>
      </c>
    </row>
    <row r="14" customFormat="false" ht="15" hidden="false" customHeight="true" outlineLevel="0" collapsed="false">
      <c r="B14" s="50" t="s">
        <v>79</v>
      </c>
      <c r="C14" s="51" t="n">
        <f aca="false">Forecast!H13</f>
        <v>1671163.022592</v>
      </c>
    </row>
    <row r="16" customFormat="false" ht="49.5" hidden="false" customHeight="true" outlineLevel="0" collapsed="false">
      <c r="B16" s="52" t="s">
        <v>80</v>
      </c>
      <c r="C16" s="52"/>
      <c r="D16" s="52"/>
      <c r="E16" s="52"/>
      <c r="F16" s="52"/>
      <c r="G16" s="52"/>
    </row>
  </sheetData>
  <mergeCells count="3">
    <mergeCell ref="B1:G1"/>
    <mergeCell ref="B2:G2"/>
    <mergeCell ref="B16:G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5" min="3" style="1" width="18"/>
  </cols>
  <sheetData>
    <row r="1" customFormat="false" ht="31.5" hidden="false" customHeight="true" outlineLevel="0" collapsed="false">
      <c r="B1" s="6" t="s">
        <v>81</v>
      </c>
      <c r="C1" s="6"/>
      <c r="D1" s="6"/>
      <c r="E1" s="6"/>
    </row>
    <row r="3" customFormat="false" ht="21.75" hidden="false" customHeight="true" outlineLevel="0" collapsed="false">
      <c r="B3" s="19" t="s">
        <v>64</v>
      </c>
      <c r="C3" s="7" t="s">
        <v>19</v>
      </c>
      <c r="D3" s="7" t="s">
        <v>20</v>
      </c>
      <c r="E3" s="7" t="s">
        <v>21</v>
      </c>
    </row>
    <row r="4" customFormat="false" ht="21.75" hidden="false" customHeight="true" outlineLevel="0" collapsed="false">
      <c r="B4" s="53" t="s">
        <v>82</v>
      </c>
      <c r="C4" s="21" t="n">
        <f aca="false">Forecast!H6</f>
        <v>14693280.768</v>
      </c>
      <c r="D4" s="28" t="n">
        <f aca="false">Forecast!H17</f>
        <v>19254145.824</v>
      </c>
      <c r="E4" s="33" t="n">
        <f aca="false">Forecast!H28</f>
        <v>11040808.032</v>
      </c>
    </row>
    <row r="5" customFormat="false" ht="21.75" hidden="false" customHeight="true" outlineLevel="0" collapsed="false">
      <c r="B5" s="54" t="s">
        <v>83</v>
      </c>
      <c r="C5" s="21" t="n">
        <f aca="false">Forecast!H7</f>
        <v>6611976.3456</v>
      </c>
      <c r="D5" s="28" t="n">
        <f aca="false">Forecast!H18</f>
        <v>9241989.99552001</v>
      </c>
      <c r="E5" s="33" t="n">
        <f aca="false">Forecast!H29</f>
        <v>4526731.29312</v>
      </c>
    </row>
    <row r="6" customFormat="false" ht="21.75" hidden="false" customHeight="true" outlineLevel="0" collapsed="false">
      <c r="B6" s="53" t="s">
        <v>84</v>
      </c>
      <c r="C6" s="21" t="n">
        <f aca="false">Forecast!H9</f>
        <v>2353691.1872</v>
      </c>
      <c r="D6" s="28" t="n">
        <f aca="false">Forecast!H20</f>
        <v>5184530.73547</v>
      </c>
      <c r="E6" s="33" t="n">
        <f aca="false">Forecast!H31</f>
        <v>-157058.228480001</v>
      </c>
    </row>
    <row r="7" customFormat="false" ht="21.75" hidden="false" customHeight="true" outlineLevel="0" collapsed="false">
      <c r="B7" s="54" t="s">
        <v>68</v>
      </c>
      <c r="C7" s="21" t="n">
        <f aca="false">Forecast!H13</f>
        <v>1671163.022592</v>
      </c>
      <c r="D7" s="28" t="n">
        <f aca="false">Forecast!H24</f>
        <v>3766530.09057045</v>
      </c>
      <c r="E7" s="33" t="n">
        <f aca="false">Forecast!H35</f>
        <v>-257058.228480001</v>
      </c>
    </row>
    <row r="8" customFormat="false" ht="21.75" hidden="false" customHeight="true" outlineLevel="0" collapsed="false">
      <c r="B8" s="53" t="s">
        <v>85</v>
      </c>
      <c r="C8" s="55" t="n">
        <f aca="false">(Forecast!H6/Forecast!C6)^(1/5)-1</f>
        <v>0.0800000000000001</v>
      </c>
      <c r="D8" s="56" t="n">
        <f aca="false">(Forecast!H17/Forecast!C17)^(1/5)-1</f>
        <v>0.14</v>
      </c>
      <c r="E8" s="57" t="n">
        <f aca="false">(Forecast!H28/Forecast!C28)^(1/5)-1</f>
        <v>0.02</v>
      </c>
    </row>
    <row r="9" customFormat="false" ht="21.75" hidden="false" customHeight="true" outlineLevel="0" collapsed="false">
      <c r="B9" s="54" t="s">
        <v>86</v>
      </c>
      <c r="C9" s="55" t="n">
        <f aca="false">Forecast!H9/Forecast!H6</f>
        <v>0.160188267301475</v>
      </c>
      <c r="D9" s="56" t="n">
        <f aca="false">Forecast!H20/Forecast!H17</f>
        <v>0.269268280341347</v>
      </c>
      <c r="E9" s="57" t="n">
        <f aca="false">Forecast!H31/Forecast!H28</f>
        <v>-0.0142252476471643</v>
      </c>
    </row>
    <row r="10" customFormat="false" ht="21.75" hidden="false" customHeight="true" outlineLevel="0" collapsed="false">
      <c r="B10" s="53" t="s">
        <v>87</v>
      </c>
      <c r="C10" s="55" t="n">
        <f aca="false">Forecast!H13/Forecast!H6</f>
        <v>0.113736547268025</v>
      </c>
      <c r="D10" s="56" t="n">
        <f aca="false">Forecast!H24/Forecast!H17</f>
        <v>0.195621770241063</v>
      </c>
      <c r="E10" s="57" t="n">
        <f aca="false">Forecast!H35/Forecast!H28</f>
        <v>-0.0232825557454635</v>
      </c>
    </row>
    <row r="11" customFormat="false" ht="21.75" hidden="false" customHeight="true" outlineLevel="0" collapsed="false">
      <c r="B11" s="54" t="s">
        <v>88</v>
      </c>
      <c r="C11" s="21" t="n">
        <f aca="false">SUM(Forecast!D13:H13)</f>
        <v>6171255.912192</v>
      </c>
      <c r="D11" s="28" t="n">
        <f aca="false">SUM(Forecast!D24:H24)</f>
        <v>12297325.6958255</v>
      </c>
      <c r="E11" s="33" t="n">
        <f aca="false">SUM(Forecast!D35:H35)</f>
        <v>167510.315519998</v>
      </c>
    </row>
    <row r="14" customFormat="false" ht="21.75" hidden="false" customHeight="true" outlineLevel="0" collapsed="false">
      <c r="B14" s="18" t="s">
        <v>89</v>
      </c>
      <c r="C14" s="18"/>
      <c r="D14" s="18"/>
      <c r="E14" s="18"/>
    </row>
    <row r="15" customFormat="false" ht="49.5" hidden="false" customHeight="true" outlineLevel="0" collapsed="false">
      <c r="B15" s="58" t="s">
        <v>90</v>
      </c>
      <c r="C15" s="58"/>
      <c r="D15" s="58"/>
      <c r="E15" s="58"/>
    </row>
  </sheetData>
  <mergeCells count="3">
    <mergeCell ref="B1:E1"/>
    <mergeCell ref="B14:E14"/>
    <mergeCell ref="B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2026-04-29T19:17:00Z</dcterms:created>
  <dc:creator>openpyxl</dc:creator>
  <dc:description/>
  <dc:language>en-US</dc:language>
  <cp:lastModifiedBy/>
  <dcterms:modified xsi:type="dcterms:W3CDTF">2026-04-29T19:17:47Z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