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7.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ME — Start Here" sheetId="1" state="visible" r:id="rId3"/>
    <sheet name="AR Data (NetSuite)" sheetId="2" state="visible" r:id="rId4"/>
    <sheet name="AP Data (NetSuite)" sheetId="3" state="visible" r:id="rId5"/>
    <sheet name="Assumptions" sheetId="4" state="visible" r:id="rId6"/>
    <sheet name="Cash Flow" sheetId="5" state="visible" r:id="rId7"/>
    <sheet name="Stress Test" sheetId="6" state="visible" r:id="rId8"/>
    <sheet name="Dashboard" sheetId="7" state="visible" r:id="rId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<sst xmlns="http://schemas.openxmlformats.org/spreadsheetml/2006/main" count="1467" uniqueCount="493">
  <si>
    <t xml:space="preserve">Cash Flow Stress Test Model — User Guide</t>
  </si>
  <si>
    <t xml:space="preserve">Yehuda Slater · Strategic FP&amp;A &amp; Financial Modeling · yehuda-slater.netlify.app</t>
  </si>
  <si>
    <t xml:space="preserve">What This Model Does</t>
  </si>
  <si>
    <t xml:space="preserve">This model tracks and forecasts 26 weeks of cash flow for a manufacturing business. The first 12 weeks use actual data pulled from NetSuite. Weeks 13 onwards use forecast assumptions you control. The Stress Test tab shows where the forecast diverges from reality — and what happens to cash under adverse conditions.</t>
  </si>
  <si>
    <t xml:space="preserve">The Tabs — What Each One Is</t>
  </si>
  <si>
    <t xml:space="preserve">README — Start Here</t>
  </si>
  <si>
    <t xml:space="preserve">This page. Read before using.</t>
  </si>
  <si>
    <t xml:space="preserve">AR Data (NetSuite)</t>
  </si>
  <si>
    <t xml:space="preserve">Customer cash receipts — actual data as exported from NetSuite. Paste your own NS export here. The 'Week #' column is calculated automatically. Do not edit column headers or the Week # column.</t>
  </si>
  <si>
    <t xml:space="preserve">AP Data (NetSuite)</t>
  </si>
  <si>
    <t xml:space="preserve">Vendor and payroll payments — actual data as exported from NetSuite. Same structure as AR. Paste your own data and the model updates throughout.</t>
  </si>
  <si>
    <t xml:space="preserve">Assumptions</t>
  </si>
  <si>
    <t xml:space="preserve">All forecast inputs live here. Weekly inflow by customer segment, weekly outflow by cost category, payment frequencies, scenario parameters. Gold cells are inputs — change these to update the forecast.</t>
  </si>
  <si>
    <t xml:space="preserve">Cash Flow</t>
  </si>
  <si>
    <t xml:space="preserve">The main 26-week model. Weeks 1–12 pull from AR/AP Data. Weeks 13–26 pull from Assumptions. The current week is highlighted in amber. Do not edit this tab directly — it is formula-driven.</t>
  </si>
  <si>
    <t xml:space="preserve">Stress Test</t>
  </si>
  <si>
    <t xml:space="preserve">Two sections: (1) the gap between actual and forecast over the past 12 weeks, and (2) a Base vs Stress scenario comparison for weeks 13–26. This is where you see whether the forecast is credible.</t>
  </si>
  <si>
    <t xml:space="preserve">Dashboard</t>
  </si>
  <si>
    <t xml:space="preserve">Executive summary: KPIs, stress metrics, AP aging by vendor type, AR pipeline by customer segment, and a 3-scenario cash forecast chart.</t>
  </si>
  <si>
    <t xml:space="preserve">How To Use This Model Each Week</t>
  </si>
  <si>
    <t xml:space="preserve">Step 1 — Update Reporting Date
Go to Assumptions, cell B7. Change the date to today's date (or the date of your latest NetSuite export). The model automatically calculates the current week from this date, updates the amber highlight, and shifts the actual/forecast cutover across all tabs. No other manual updates needed.</t>
  </si>
  <si>
    <t xml:space="preserve">Go to Assumptions, cell B7. Change the number to the current week. This updates the amber highlight across the Cash Flow tab and all dashboard indicators.</t>
  </si>
  <si>
    <t xml:space="preserve">Step 2 — Refresh NetSuite Data</t>
  </si>
  <si>
    <t xml:space="preserve">Export the latest cash receipts and vendor payments from NetSuite. Paste the rows into AR Data and AP Data, replacing the existing data. Keep the header row (row 1). The Week # column recalculates automatically.</t>
  </si>
  <si>
    <t xml:space="preserve">Step 3 — Review the Stress Test</t>
  </si>
  <si>
    <t xml:space="preserve">Go to the Stress Test tab. Section 1 shows the actual vs forecast gap for completed weeks. If the average weekly overspend is growing, update the Assumptions tab to reflect the new reality.</t>
  </si>
  <si>
    <t xml:space="preserve">Step 4 — Update Assumptions if needed</t>
  </si>
  <si>
    <t xml:space="preserve">If inflows or outflows are tracking differently from forecast, update the weekly amounts in the Assumptions tab. The Cash Flow and Dashboard tabs update automatically.</t>
  </si>
  <si>
    <t xml:space="preserve">Step 5 — Review the Dashboard</t>
  </si>
  <si>
    <t xml:space="preserve">Check ending cash under Base and Stress scenarios. If Stress ending cash approaches the minimum buffer, action is needed: accelerate collections or defer vendor payments.</t>
  </si>
  <si>
    <t xml:space="preserve">Key Rules</t>
  </si>
  <si>
    <t xml:space="preserve">•  Only edit gold cells in the Assumptions tab, and the AR/AP data tabs.</t>
  </si>
  <si>
    <t xml:space="preserve">•  Do not edit the Cash Flow, Stress Test, or Dashboard tabs — they are formula-driven.</t>
  </si>
  <si>
    <t xml:space="preserve">•  Do not delete or reorder columns in AR Data or AP Data.</t>
  </si>
  <si>
    <t xml:space="preserve">•  The 'Week #' column in AR/AP is calculated — do not overwrite it with manual values.</t>
  </si>
  <si>
    <t xml:space="preserve">•  Current week is set in Assumptions cell B7. Update it every week.</t>
  </si>
  <si>
    <t xml:space="preserve">Questions or Customisation</t>
  </si>
  <si>
    <t xml:space="preserve">To adapt this model to your business — different customer segments, payment terms, cost structure, or currency — contact Yehuda Slater: juda71@gmail.com · yehuda-slater.netlify.app</t>
  </si>
  <si>
    <t xml:space="preserve">Date</t>
  </si>
  <si>
    <t xml:space="preserve">Document Number</t>
  </si>
  <si>
    <t xml:space="preserve">Type</t>
  </si>
  <si>
    <t xml:space="preserve">Entity</t>
  </si>
  <si>
    <t xml:space="preserve">Category</t>
  </si>
  <si>
    <t xml:space="preserve">Currency</t>
  </si>
  <si>
    <t xml:space="preserve">Exchange Rate</t>
  </si>
  <si>
    <t xml:space="preserve">Amount (USD)</t>
  </si>
  <si>
    <t xml:space="preserve">Status</t>
  </si>
  <si>
    <t xml:space="preserve">Subsidiary</t>
  </si>
  <si>
    <t xml:space="preserve">Memo</t>
  </si>
  <si>
    <t xml:space="preserve">Week #</t>
  </si>
  <si>
    <t xml:space="preserve">RCP-10441</t>
  </si>
  <si>
    <t xml:space="preserve">Customer Payment</t>
  </si>
  <si>
    <t xml:space="preserve">Meridian Industrial Corp</t>
  </si>
  <si>
    <t xml:space="preserve">Seg A - Large (Net 60)</t>
  </si>
  <si>
    <t xml:space="preserve">USD</t>
  </si>
  <si>
    <t xml:space="preserve">Posted</t>
  </si>
  <si>
    <t xml:space="preserve">Acme Manufacturing Ltd</t>
  </si>
  <si>
    <t xml:space="preserve">RCP-10442</t>
  </si>
  <si>
    <t xml:space="preserve">Summit Manufacturing</t>
  </si>
  <si>
    <t xml:space="preserve">RCP-10455</t>
  </si>
  <si>
    <t xml:space="preserve">RCP-10456</t>
  </si>
  <si>
    <t xml:space="preserve">RCP-10468</t>
  </si>
  <si>
    <t xml:space="preserve">RCP-10469</t>
  </si>
  <si>
    <t xml:space="preserve">RCP-10481</t>
  </si>
  <si>
    <t xml:space="preserve">RCP-10482</t>
  </si>
  <si>
    <t xml:space="preserve">RCP-10494</t>
  </si>
  <si>
    <t xml:space="preserve">RCP-10495</t>
  </si>
  <si>
    <t xml:space="preserve">RCP-10508</t>
  </si>
  <si>
    <t xml:space="preserve">RCP-10509</t>
  </si>
  <si>
    <t xml:space="preserve">RCP-10443</t>
  </si>
  <si>
    <t xml:space="preserve">Castellan Group Ltd</t>
  </si>
  <si>
    <t xml:space="preserve">Seg B - Mid (Net 30)</t>
  </si>
  <si>
    <t xml:space="preserve">RCP-10444</t>
  </si>
  <si>
    <t xml:space="preserve">Vantara Solutions</t>
  </si>
  <si>
    <t xml:space="preserve">RCP-10445</t>
  </si>
  <si>
    <t xml:space="preserve">Harlow &amp; Partners</t>
  </si>
  <si>
    <t xml:space="preserve">RCP-10457</t>
  </si>
  <si>
    <t xml:space="preserve">Fenwick Technologies</t>
  </si>
  <si>
    <t xml:space="preserve">RCP-10458</t>
  </si>
  <si>
    <t xml:space="preserve">RCP-10470</t>
  </si>
  <si>
    <t xml:space="preserve">RCP-10471</t>
  </si>
  <si>
    <t xml:space="preserve">RCP-10472</t>
  </si>
  <si>
    <t xml:space="preserve">RCP-10483</t>
  </si>
  <si>
    <t xml:space="preserve">RCP-10484</t>
  </si>
  <si>
    <t xml:space="preserve">RCP-10496</t>
  </si>
  <si>
    <t xml:space="preserve">RCP-10497</t>
  </si>
  <si>
    <t xml:space="preserve">RCP-10510</t>
  </si>
  <si>
    <t xml:space="preserve">RCP-10511</t>
  </si>
  <si>
    <t xml:space="preserve">RCP-10522</t>
  </si>
  <si>
    <t xml:space="preserve">RCP-10523</t>
  </si>
  <si>
    <t xml:space="preserve">RCP-10535</t>
  </si>
  <si>
    <t xml:space="preserve">RCP-10536</t>
  </si>
  <si>
    <t xml:space="preserve">RCP-10537</t>
  </si>
  <si>
    <t xml:space="preserve">RCP-10548</t>
  </si>
  <si>
    <t xml:space="preserve">RCP-10446</t>
  </si>
  <si>
    <t xml:space="preserve">Cash Sale</t>
  </si>
  <si>
    <t xml:space="preserve">Apex Retail Inc</t>
  </si>
  <si>
    <t xml:space="preserve">Seg C - COD</t>
  </si>
  <si>
    <t xml:space="preserve">RCP-10447</t>
  </si>
  <si>
    <t xml:space="preserve">BluePeak Distributors</t>
  </si>
  <si>
    <t xml:space="preserve">RCP-10459</t>
  </si>
  <si>
    <t xml:space="preserve">RCP-10460</t>
  </si>
  <si>
    <t xml:space="preserve">Northern Supply Co</t>
  </si>
  <si>
    <t xml:space="preserve">Seg C - Net 30</t>
  </si>
  <si>
    <t xml:space="preserve">RCP-10473</t>
  </si>
  <si>
    <t xml:space="preserve">RCP-10474</t>
  </si>
  <si>
    <t xml:space="preserve">RCP-10485</t>
  </si>
  <si>
    <t xml:space="preserve">RCP-10498</t>
  </si>
  <si>
    <t xml:space="preserve">RCP-10499</t>
  </si>
  <si>
    <t xml:space="preserve">RCP-10512</t>
  </si>
  <si>
    <t xml:space="preserve">RCP-10525</t>
  </si>
  <si>
    <t xml:space="preserve">RCP-10526</t>
  </si>
  <si>
    <t xml:space="preserve">RCP-10538</t>
  </si>
  <si>
    <t xml:space="preserve">RCP-10550</t>
  </si>
  <si>
    <t xml:space="preserve">RCP-10562</t>
  </si>
  <si>
    <t xml:space="preserve">RCP-10574</t>
  </si>
  <si>
    <t xml:space="preserve">RCP-10541</t>
  </si>
  <si>
    <t xml:space="preserve">RCP-10542</t>
  </si>
  <si>
    <t xml:space="preserve">RCP-10543</t>
  </si>
  <si>
    <t xml:space="preserve">RCP-10544</t>
  </si>
  <si>
    <t xml:space="preserve">RCP-10555</t>
  </si>
  <si>
    <t xml:space="preserve">RCP-10556</t>
  </si>
  <si>
    <t xml:space="preserve">RCP-10557</t>
  </si>
  <si>
    <t xml:space="preserve">RCP-10568</t>
  </si>
  <si>
    <t xml:space="preserve">RCP-10569</t>
  </si>
  <si>
    <t xml:space="preserve">RCP-10580</t>
  </si>
  <si>
    <t xml:space="preserve">RCP-10581</t>
  </si>
  <si>
    <t xml:space="preserve">RCP-10592</t>
  </si>
  <si>
    <t xml:space="preserve">RCP-10593</t>
  </si>
  <si>
    <t xml:space="preserve">RCP-10594</t>
  </si>
  <si>
    <t xml:space="preserve">Vendor</t>
  </si>
  <si>
    <t xml:space="preserve">BILL-5201</t>
  </si>
  <si>
    <t xml:space="preserve">Vendor Payment</t>
  </si>
  <si>
    <t xml:space="preserve">ADP Payroll Services</t>
  </si>
  <si>
    <t xml:space="preserve">Mandatory - Payroll</t>
  </si>
  <si>
    <t xml:space="preserve">BILL-5215</t>
  </si>
  <si>
    <t xml:space="preserve">BILL-5228</t>
  </si>
  <si>
    <t xml:space="preserve">BILL-5243</t>
  </si>
  <si>
    <t xml:space="preserve">BILL-5257</t>
  </si>
  <si>
    <t xml:space="preserve">BILL-5272</t>
  </si>
  <si>
    <t xml:space="preserve">BILL-5202</t>
  </si>
  <si>
    <t xml:space="preserve">Canada Revenue Agency</t>
  </si>
  <si>
    <t xml:space="preserve">Mandatory - Tax</t>
  </si>
  <si>
    <t xml:space="preserve">BILL-5229</t>
  </si>
  <si>
    <t xml:space="preserve">BILL-5258</t>
  </si>
  <si>
    <t xml:space="preserve">BILL-5203</t>
  </si>
  <si>
    <t xml:space="preserve">TD Bank - Term Loan</t>
  </si>
  <si>
    <t xml:space="preserve">Mandatory - Loan</t>
  </si>
  <si>
    <t xml:space="preserve">BILL-5230</t>
  </si>
  <si>
    <t xml:space="preserve">BILL-5259</t>
  </si>
  <si>
    <t xml:space="preserve">BILL-5204</t>
  </si>
  <si>
    <t xml:space="preserve">City Property Mgmt</t>
  </si>
  <si>
    <t xml:space="preserve">Mandatory - Rent</t>
  </si>
  <si>
    <t xml:space="preserve">BILL-5231</t>
  </si>
  <si>
    <t xml:space="preserve">BILL-5260</t>
  </si>
  <si>
    <t xml:space="preserve">BILL-5205</t>
  </si>
  <si>
    <t xml:space="preserve">SteelCraft Materials Ltd</t>
  </si>
  <si>
    <t xml:space="preserve">Materials &amp; Supplies</t>
  </si>
  <si>
    <t xml:space="preserve">BILL-5210</t>
  </si>
  <si>
    <t xml:space="preserve">BILL-5211</t>
  </si>
  <si>
    <t xml:space="preserve">Apex Chemical Supply</t>
  </si>
  <si>
    <t xml:space="preserve">BILL-5217</t>
  </si>
  <si>
    <t xml:space="preserve">BILL-5218</t>
  </si>
  <si>
    <t xml:space="preserve">Packmaster Corp</t>
  </si>
  <si>
    <t xml:space="preserve">BILL-5223</t>
  </si>
  <si>
    <t xml:space="preserve">BILL-5224</t>
  </si>
  <si>
    <t xml:space="preserve">BILL-5232</t>
  </si>
  <si>
    <t xml:space="preserve">BILL-5233</t>
  </si>
  <si>
    <t xml:space="preserve">BILL-5237</t>
  </si>
  <si>
    <t xml:space="preserve">BILL-5238</t>
  </si>
  <si>
    <t xml:space="preserve">BILL-5245</t>
  </si>
  <si>
    <t xml:space="preserve">BILL-5246</t>
  </si>
  <si>
    <t xml:space="preserve">BILL-5251</t>
  </si>
  <si>
    <t xml:space="preserve">BILL-5252</t>
  </si>
  <si>
    <t xml:space="preserve">BILL-5261</t>
  </si>
  <si>
    <t xml:space="preserve">BILL-5262</t>
  </si>
  <si>
    <t xml:space="preserve">BILL-5266</t>
  </si>
  <si>
    <t xml:space="preserve">BILL-5267</t>
  </si>
  <si>
    <t xml:space="preserve">BILL-5274</t>
  </si>
  <si>
    <t xml:space="preserve">BILL-5275</t>
  </si>
  <si>
    <t xml:space="preserve">BILL-5281</t>
  </si>
  <si>
    <t xml:space="preserve">BILL-5282</t>
  </si>
  <si>
    <t xml:space="preserve">BILL-5206</t>
  </si>
  <si>
    <t xml:space="preserve">CloudSys IT Solutions</t>
  </si>
  <si>
    <t xml:space="preserve">Services - IT</t>
  </si>
  <si>
    <t xml:space="preserve">BILL-5234</t>
  </si>
  <si>
    <t xml:space="preserve">BILL-5262b</t>
  </si>
  <si>
    <t xml:space="preserve">BILL-5212</t>
  </si>
  <si>
    <t xml:space="preserve">Hargreaves Legal LLP</t>
  </si>
  <si>
    <t xml:space="preserve">Services - Professional</t>
  </si>
  <si>
    <t xml:space="preserve">BILL-5239</t>
  </si>
  <si>
    <t xml:space="preserve">BILL-5268</t>
  </si>
  <si>
    <t xml:space="preserve">BILL-5220</t>
  </si>
  <si>
    <t xml:space="preserve">MarketEdge Agency</t>
  </si>
  <si>
    <t xml:space="preserve">Services - Marketing</t>
  </si>
  <si>
    <t xml:space="preserve">BILL-5247</t>
  </si>
  <si>
    <t xml:space="preserve">BILL-5276</t>
  </si>
  <si>
    <t xml:space="preserve">BILL-5207</t>
  </si>
  <si>
    <t xml:space="preserve">FastRoute Logistics</t>
  </si>
  <si>
    <t xml:space="preserve">Logistics &amp; Freight</t>
  </si>
  <si>
    <t xml:space="preserve">BILL-5213</t>
  </si>
  <si>
    <t xml:space="preserve">BILL-5221</t>
  </si>
  <si>
    <t xml:space="preserve">BILL-5226</t>
  </si>
  <si>
    <t xml:space="preserve">BILL-5235</t>
  </si>
  <si>
    <t xml:space="preserve">BILL-5241</t>
  </si>
  <si>
    <t xml:space="preserve">BILL-5248</t>
  </si>
  <si>
    <t xml:space="preserve">BILL-5255</t>
  </si>
  <si>
    <t xml:space="preserve">BILL-5263</t>
  </si>
  <si>
    <t xml:space="preserve">BILL-5270</t>
  </si>
  <si>
    <t xml:space="preserve">BILL-5277</t>
  </si>
  <si>
    <t xml:space="preserve">BILL-5285</t>
  </si>
  <si>
    <t xml:space="preserve">BILL-5214</t>
  </si>
  <si>
    <t xml:space="preserve">PowerGrid Utilities</t>
  </si>
  <si>
    <t xml:space="preserve">Utilities</t>
  </si>
  <si>
    <t xml:space="preserve">BILL-5242</t>
  </si>
  <si>
    <t xml:space="preserve">BILL-5271</t>
  </si>
  <si>
    <t xml:space="preserve">BILL-5209</t>
  </si>
  <si>
    <t xml:space="preserve">Maintech Services</t>
  </si>
  <si>
    <t xml:space="preserve">Other Operational</t>
  </si>
  <si>
    <t xml:space="preserve">BILL-5225</t>
  </si>
  <si>
    <t xml:space="preserve">BILL-5253</t>
  </si>
  <si>
    <t xml:space="preserve">BILL-5254</t>
  </si>
  <si>
    <t xml:space="preserve">BILL-5283</t>
  </si>
  <si>
    <t xml:space="preserve">BILL-5284</t>
  </si>
  <si>
    <t xml:space="preserve">BILL-5286</t>
  </si>
  <si>
    <t xml:space="preserve">BILL-5301</t>
  </si>
  <si>
    <t xml:space="preserve">BILL-5302</t>
  </si>
  <si>
    <t xml:space="preserve">BILL-5303</t>
  </si>
  <si>
    <t xml:space="preserve">BILL-5304</t>
  </si>
  <si>
    <t xml:space="preserve">BILL-5305</t>
  </si>
  <si>
    <t xml:space="preserve">BILL-5306</t>
  </si>
  <si>
    <t xml:space="preserve">BILL-5307</t>
  </si>
  <si>
    <t xml:space="preserve">BILL-5308</t>
  </si>
  <si>
    <t xml:space="preserve">BILL-5309</t>
  </si>
  <si>
    <t xml:space="preserve">BILL-5310</t>
  </si>
  <si>
    <t xml:space="preserve">BILL-5311</t>
  </si>
  <si>
    <t xml:space="preserve">BILL-5312</t>
  </si>
  <si>
    <t xml:space="preserve">BILL-5313</t>
  </si>
  <si>
    <t xml:space="preserve">BILL-5314</t>
  </si>
  <si>
    <t xml:space="preserve">BILL-5315</t>
  </si>
  <si>
    <t xml:space="preserve">BILL-5316</t>
  </si>
  <si>
    <t xml:space="preserve">BILL-5317</t>
  </si>
  <si>
    <t xml:space="preserve">BILL-5318</t>
  </si>
  <si>
    <t xml:space="preserve">BILL-5319</t>
  </si>
  <si>
    <t xml:space="preserve">BILL-5320</t>
  </si>
  <si>
    <t xml:space="preserve">BILL-5321</t>
  </si>
  <si>
    <t xml:space="preserve">BILL-5322</t>
  </si>
  <si>
    <t xml:space="preserve">BILL-5323</t>
  </si>
  <si>
    <t xml:space="preserve">BILL-5324</t>
  </si>
  <si>
    <t xml:space="preserve">BILL-5325</t>
  </si>
  <si>
    <t xml:space="preserve">BILL-5326</t>
  </si>
  <si>
    <t xml:space="preserve">BILL-5327</t>
  </si>
  <si>
    <t xml:space="preserve">Forecast Assumptions</t>
  </si>
  <si>
    <t xml:space="preserve">Model Settings</t>
  </si>
  <si>
    <t xml:space="preserve">Company Name</t>
  </si>
  <si>
    <t xml:space="preserve">Replace with your company name</t>
  </si>
  <si>
    <t xml:space="preserve">Reporting Currency</t>
  </si>
  <si>
    <t xml:space="preserve">Week 1 Start Date</t>
  </si>
  <si>
    <t xml:space="preserve">First Monday of the forecast period. Do not change once model is live.</t>
  </si>
  <si>
    <t xml:space="preserve">Reporting Date  ← UPDATE THIS EACH WEEK</t>
  </si>
  <si>
    <t xml:space="preserve">Hard-coded date. Update to today's date each time you refresh NetSuite data. Weeks before this date = actual. Weeks containing or after this date = forecast (near-forecast based on AR/AP aging). To make dynamic, replace this value with =TODAY() — but hard-coded is safer for audit purposes.</t>
  </si>
  <si>
    <t xml:space="preserve">Current Week  [calculated — do not edit]</t>
  </si>
  <si>
    <t xml:space="preserve">Number of fully completed weeks (actuals available). Weeks 1 through this number = actual. Week (this+1) onward = forecast.</t>
  </si>
  <si>
    <t xml:space="preserve">Opening Cash Balance</t>
  </si>
  <si>
    <t xml:space="preserve">Bank balance at start of Week 1</t>
  </si>
  <si>
    <t xml:space="preserve">Minimum Cash Buffer</t>
  </si>
  <si>
    <t xml:space="preserve">Alert threshold — action required if ending cash falls below this</t>
  </si>
  <si>
    <t xml:space="preserve">Inflow — Forecast Pattern (Weeks after Reporting Date)</t>
  </si>
  <si>
    <t xml:space="preserve">Note: Inflows are NOT uniform weekly. Seg A customers pay every 3–5 weeks in large amounts. Seg B customers pay 1–2x per month per customer. Seg C is near-weekly small amounts. The Cash Flow tab reflects a realistic payment calendar, not weekly averages.</t>
  </si>
  <si>
    <t xml:space="preserve">Segment</t>
  </si>
  <si>
    <t xml:space="preserve">Avg Weekly Equiv.</t>
  </si>
  <si>
    <t xml:space="preserve">Payment Pattern</t>
  </si>
  <si>
    <t xml:space="preserve">Lag</t>
  </si>
  <si>
    <t xml:space="preserve">Seg A – Large (Net 60)</t>
  </si>
  <si>
    <t xml:space="preserve">Meridian ~$160–170k &amp; Summit ~$210–230k, each paying every 4–5 weeks</t>
  </si>
  <si>
    <t xml:space="preserve">9 wks</t>
  </si>
  <si>
    <t xml:space="preserve">Seg B – Mid (Net 30)</t>
  </si>
  <si>
    <t xml:space="preserve">4 customers paying ~$42–73k each, arriving 1–2x per month per customer</t>
  </si>
  <si>
    <t xml:space="preserve">5 wks</t>
  </si>
  <si>
    <t xml:space="preserve">Seg C – COD / Small</t>
  </si>
  <si>
    <t xml:space="preserve">Small amounts most weeks, $9–17k</t>
  </si>
  <si>
    <t xml:space="preserve">0–2 wks</t>
  </si>
  <si>
    <t xml:space="preserve">Outflow — Forecast Payment Schedule</t>
  </si>
  <si>
    <t xml:space="preserve">Note: Outflows follow a realistic payment calendar. Payroll is bi-weekly ($165k per run). Rent, tax, and loan are monthly. Materials are weekly but variable. Services are monthly or periodic. See Cash Flow tab for the full week-by-week schedule.</t>
  </si>
  <si>
    <t xml:space="preserve">Per-Payment Amount</t>
  </si>
  <si>
    <t xml:space="preserve">Payment Frequency</t>
  </si>
  <si>
    <t xml:space="preserve">Payroll &amp; Benefits</t>
  </si>
  <si>
    <t xml:space="preserve">Bi-weekly — $165k per run (odd weeks)</t>
  </si>
  <si>
    <t xml:space="preserve">Mandatory</t>
  </si>
  <si>
    <t xml:space="preserve">Payroll Tax &amp; Remittances</t>
  </si>
  <si>
    <t xml:space="preserve">Monthly (every 4 weeks)</t>
  </si>
  <si>
    <t xml:space="preserve">Income Tax / Corporate Tax</t>
  </si>
  <si>
    <t xml:space="preserve">Quarterly accrual</t>
  </si>
  <si>
    <t xml:space="preserve">Loan Repayments &amp; Interest</t>
  </si>
  <si>
    <t xml:space="preserve">Monthly</t>
  </si>
  <si>
    <t xml:space="preserve">Rent / Lease Obligations</t>
  </si>
  <si>
    <t xml:space="preserve">Materials &amp; Raw Supplies</t>
  </si>
  <si>
    <t xml:space="preserve">Weekly — varies $38–66k</t>
  </si>
  <si>
    <t xml:space="preserve">Operational</t>
  </si>
  <si>
    <t xml:space="preserve">Packaging &amp; Consumables</t>
  </si>
  <si>
    <t xml:space="preserve">Bi-monthly lump order</t>
  </si>
  <si>
    <t xml:space="preserve">Services – IT &amp; Technology</t>
  </si>
  <si>
    <t xml:space="preserve">Monthly fixed contract</t>
  </si>
  <si>
    <t xml:space="preserve">Services – Professional Fees</t>
  </si>
  <si>
    <t xml:space="preserve">Bi-monthly</t>
  </si>
  <si>
    <t xml:space="preserve">Services – Marketing &amp; Sales</t>
  </si>
  <si>
    <t xml:space="preserve">Every 4 weeks</t>
  </si>
  <si>
    <t xml:space="preserve">Weekly — varies $16–23k</t>
  </si>
  <si>
    <t xml:space="preserve">Utilities &amp; Facility</t>
  </si>
  <si>
    <t xml:space="preserve">Monthly fixed</t>
  </si>
  <si>
    <t xml:space="preserve">Occasional — maintenance as needed</t>
  </si>
  <si>
    <t xml:space="preserve">Scenario Parameters</t>
  </si>
  <si>
    <t xml:space="preserve">Upside — Inflow improvement vs Base</t>
  </si>
  <si>
    <t xml:space="preserve">Upside — Outflow reduction vs Base</t>
  </si>
  <si>
    <t xml:space="preserve">Downside — Inflow reduction vs Base</t>
  </si>
  <si>
    <t xml:space="preserve">Downside — Outflow increase vs Base</t>
  </si>
  <si>
    <t xml:space="preserve">Cash Flow — 26 Weeks</t>
  </si>
  <si>
    <t xml:space="preserve">Total</t>
  </si>
  <si>
    <t xml:space="preserve">Wk 1</t>
  </si>
  <si>
    <t xml:space="preserve">Wk 2</t>
  </si>
  <si>
    <t xml:space="preserve">Wk 3</t>
  </si>
  <si>
    <t xml:space="preserve">Wk 4</t>
  </si>
  <si>
    <t xml:space="preserve">Wk 5</t>
  </si>
  <si>
    <t xml:space="preserve">Wk 6</t>
  </si>
  <si>
    <t xml:space="preserve">Wk 7</t>
  </si>
  <si>
    <t xml:space="preserve">Wk 8</t>
  </si>
  <si>
    <t xml:space="preserve">Wk 9</t>
  </si>
  <si>
    <t xml:space="preserve">Wk 10</t>
  </si>
  <si>
    <t xml:space="preserve">Wk 11</t>
  </si>
  <si>
    <t xml:space="preserve">Wk 12</t>
  </si>
  <si>
    <t xml:space="preserve">Wk 13</t>
  </si>
  <si>
    <t xml:space="preserve">Wk 14</t>
  </si>
  <si>
    <t xml:space="preserve">Wk 15</t>
  </si>
  <si>
    <t xml:space="preserve">Wk 16</t>
  </si>
  <si>
    <t xml:space="preserve">Wk 17</t>
  </si>
  <si>
    <t xml:space="preserve">Wk 18</t>
  </si>
  <si>
    <t xml:space="preserve">Wk 19</t>
  </si>
  <si>
    <t xml:space="preserve">Wk 20</t>
  </si>
  <si>
    <t xml:space="preserve">Wk 21</t>
  </si>
  <si>
    <t xml:space="preserve">Wk 22</t>
  </si>
  <si>
    <t xml:space="preserve">Wk 23</t>
  </si>
  <si>
    <t xml:space="preserve">Wk 24</t>
  </si>
  <si>
    <t xml:space="preserve">Wk 25</t>
  </si>
  <si>
    <t xml:space="preserve">Wk 26</t>
  </si>
  <si>
    <t xml:space="preserve">Week (Mon – Sun)</t>
  </si>
  <si>
    <t xml:space="preserve">05 Jan – 11 Jan</t>
  </si>
  <si>
    <t xml:space="preserve">12 Jan – 18 Jan</t>
  </si>
  <si>
    <t xml:space="preserve">19 Jan – 25 Jan</t>
  </si>
  <si>
    <t xml:space="preserve">26 Jan – 01 Feb</t>
  </si>
  <si>
    <t xml:space="preserve">02 Feb – 08 Feb</t>
  </si>
  <si>
    <t xml:space="preserve">09 Feb – 15 Feb</t>
  </si>
  <si>
    <t xml:space="preserve">16 Feb – 22 Feb</t>
  </si>
  <si>
    <t xml:space="preserve">23 Feb – 01 Mar</t>
  </si>
  <si>
    <t xml:space="preserve">02 Mar – 08 Mar</t>
  </si>
  <si>
    <t xml:space="preserve">09 Mar – 15 Mar</t>
  </si>
  <si>
    <t xml:space="preserve">16 Mar – 22 Mar</t>
  </si>
  <si>
    <t xml:space="preserve">23 Mar – 29 Mar</t>
  </si>
  <si>
    <t xml:space="preserve">30 Mar – 05 Apr</t>
  </si>
  <si>
    <t xml:space="preserve">06 Apr – 12 Apr</t>
  </si>
  <si>
    <t xml:space="preserve">13 Apr – 19 Apr</t>
  </si>
  <si>
    <t xml:space="preserve">20 Apr – 26 Apr</t>
  </si>
  <si>
    <t xml:space="preserve">27 Apr – 03 May</t>
  </si>
  <si>
    <t xml:space="preserve">04 May – 10 May</t>
  </si>
  <si>
    <t xml:space="preserve">11 May – 17 May</t>
  </si>
  <si>
    <t xml:space="preserve">18 May – 24 May</t>
  </si>
  <si>
    <t xml:space="preserve">25 May – 31 May</t>
  </si>
  <si>
    <t xml:space="preserve">01 Jun – 07 Jun</t>
  </si>
  <si>
    <t xml:space="preserve">08 Jun – 14 Jun</t>
  </si>
  <si>
    <t xml:space="preserve">15 Jun – 21 Jun</t>
  </si>
  <si>
    <t xml:space="preserve">22 Jun – 28 Jun</t>
  </si>
  <si>
    <t xml:space="preserve">29 Jun – 05 Jul</t>
  </si>
  <si>
    <t xml:space="preserve">Inflows</t>
  </si>
  <si>
    <t xml:space="preserve">  Seg A – Large (Net 60)</t>
  </si>
  <si>
    <t xml:space="preserve">  Seg B – Mid (Net 30)</t>
  </si>
  <si>
    <t xml:space="preserve">  Seg C – COD / Small</t>
  </si>
  <si>
    <t xml:space="preserve">Total Inflows</t>
  </si>
  <si>
    <t xml:space="preserve">Mandatory Outflows</t>
  </si>
  <si>
    <t xml:space="preserve">  Payroll &amp; Benefits</t>
  </si>
  <si>
    <t xml:space="preserve">  Tax &amp; Remittances</t>
  </si>
  <si>
    <t xml:space="preserve">  Income Tax</t>
  </si>
  <si>
    <t xml:space="preserve">  Loan Repayments</t>
  </si>
  <si>
    <t xml:space="preserve">  Rent / Lease</t>
  </si>
  <si>
    <t xml:space="preserve">Subtotal — Mandatory</t>
  </si>
  <si>
    <t xml:space="preserve">Operational Outflows</t>
  </si>
  <si>
    <t xml:space="preserve">  Materials &amp; Supplies</t>
  </si>
  <si>
    <t xml:space="preserve">  Packaging &amp; Consumables</t>
  </si>
  <si>
    <t xml:space="preserve">  Services – IT</t>
  </si>
  <si>
    <t xml:space="preserve">  Services – Professional</t>
  </si>
  <si>
    <t xml:space="preserve">  Services – Marketing</t>
  </si>
  <si>
    <t xml:space="preserve">  Logistics &amp; Freight</t>
  </si>
  <si>
    <t xml:space="preserve">  Utilities &amp; Facility</t>
  </si>
  <si>
    <t xml:space="preserve">  Other Operational</t>
  </si>
  <si>
    <t xml:space="preserve">Subtotal — Operational</t>
  </si>
  <si>
    <t xml:space="preserve">Total Outflows</t>
  </si>
  <si>
    <t xml:space="preserve">Net Weekly Cash Flow</t>
  </si>
  <si>
    <t xml:space="preserve">Ending Cash Balance</t>
  </si>
  <si>
    <t xml:space="preserve">[Upside — Ending Cash]</t>
  </si>
  <si>
    <t xml:space="preserve">[Downside — Ending Cash]</t>
  </si>
  <si>
    <t xml:space="preserve">Stress Test — Actual vs Forecast  ·  Reporting Date: 07 May 2026  ·  Actual through Week 17  ·  Updates when Reporting Date changes in Assumptions</t>
  </si>
  <si>
    <t xml:space="preserve">Section 1 — Actual vs Forecast Comparison  (12 completed weeks)</t>
  </si>
  <si>
    <t xml:space="preserve">12W Total</t>
  </si>
  <si>
    <t xml:space="preserve">05 Jan–11 Jan</t>
  </si>
  <si>
    <t xml:space="preserve">12 Jan–18 Jan</t>
  </si>
  <si>
    <t xml:space="preserve">19 Jan–25 Jan</t>
  </si>
  <si>
    <t xml:space="preserve">26 Jan–01 Feb</t>
  </si>
  <si>
    <t xml:space="preserve">02 Feb–08 Feb</t>
  </si>
  <si>
    <t xml:space="preserve">09 Feb–15 Feb</t>
  </si>
  <si>
    <t xml:space="preserve">16 Feb–22 Feb</t>
  </si>
  <si>
    <t xml:space="preserve">23 Feb–01 Mar</t>
  </si>
  <si>
    <t xml:space="preserve">02 Mar–08 Mar</t>
  </si>
  <si>
    <t xml:space="preserve">09 Mar–15 Mar</t>
  </si>
  <si>
    <t xml:space="preserve">16 Mar–22 Mar</t>
  </si>
  <si>
    <t xml:space="preserve">23 Mar–29 Mar</t>
  </si>
  <si>
    <t xml:space="preserve">Actual Inflows</t>
  </si>
  <si>
    <t xml:space="preserve">Forecast Inflows  (payment calendar estimate)</t>
  </si>
  <si>
    <t xml:space="preserve">Inflow Gap — Actual minus Forecast  (positive = beat plan)</t>
  </si>
  <si>
    <t xml:space="preserve">Actual Outflows</t>
  </si>
  <si>
    <t xml:space="preserve">Forecast Outflows  (payment calendar estimate)</t>
  </si>
  <si>
    <t xml:space="preserve">Outflow Gap — Actual minus Forecast  (positive = overspend vs plan)</t>
  </si>
  <si>
    <t xml:space="preserve">Average weekly outflow overspend (12-week avg)</t>
  </si>
  <si>
    <t xml:space="preserve">Positive = cash leaving faster than forecast. Review Assumptions if structural, not temporary.</t>
  </si>
  <si>
    <t xml:space="preserve">Section 2 — Base vs Stress Forward Projection  (weeks after reporting date)</t>
  </si>
  <si>
    <t xml:space="preserve">Week</t>
  </si>
  <si>
    <t xml:space="preserve">Base Inflow</t>
  </si>
  <si>
    <t xml:space="preserve">Stress Inflow</t>
  </si>
  <si>
    <t xml:space="preserve">Base Outflow</t>
  </si>
  <si>
    <t xml:space="preserve">Stress Outflow</t>
  </si>
  <si>
    <t xml:space="preserve">Base Net</t>
  </si>
  <si>
    <t xml:space="preserve">Stress Net</t>
  </si>
  <si>
    <t xml:space="preserve">Base Ending Cash</t>
  </si>
  <si>
    <t xml:space="preserve">Stress Ending Cash</t>
  </si>
  <si>
    <t xml:space="preserve">Cash Gap</t>
  </si>
  <si>
    <t xml:space="preserve">Wk 18  04 May–10 May</t>
  </si>
  <si>
    <t xml:space="preserve">Wk 19  11 May–17 May</t>
  </si>
  <si>
    <t xml:space="preserve">Wk 20  18 May–24 May</t>
  </si>
  <si>
    <t xml:space="preserve">Wk 21  25 May–31 May</t>
  </si>
  <si>
    <t xml:space="preserve">Wk 22  01 Jun–07 Jun</t>
  </si>
  <si>
    <t xml:space="preserve">Wk 23  08 Jun–14 Jun</t>
  </si>
  <si>
    <t xml:space="preserve">Wk 24  15 Jun–21 Jun</t>
  </si>
  <si>
    <t xml:space="preserve">Wk 25  22 Jun–28 Jun</t>
  </si>
  <si>
    <t xml:space="preserve">Wk 26  29 Jun–05 Jul</t>
  </si>
  <si>
    <t xml:space="preserve">Cash Flow Dashboard</t>
  </si>
  <si>
    <t xml:space="preserve">Opening Cash</t>
  </si>
  <si>
    <t xml:space="preserve">Closing Wk 26</t>
  </si>
  <si>
    <t xml:space="preserve">Net Cash 26W</t>
  </si>
  <si>
    <t xml:space="preserve">Avg Weekly Burn</t>
  </si>
  <si>
    <t xml:space="preserve">Actual Outflow
12 Weeks</t>
  </si>
  <si>
    <t xml:space="preserve">Forecast Outflow
12 Weeks</t>
  </si>
  <si>
    <t xml:space="preserve">12W Overspend</t>
  </si>
  <si>
    <t xml:space="preserve">Avg Weekly Gap</t>
  </si>
  <si>
    <t xml:space="preserve">Base Cash
Wk 26</t>
  </si>
  <si>
    <t xml:space="preserve">Stress Cash
Wk 26</t>
  </si>
  <si>
    <t xml:space="preserve">AP — Vendor Obligations  (last 4 completed weeks)</t>
  </si>
  <si>
    <t xml:space="preserve">Vendor Category</t>
  </si>
  <si>
    <t xml:space="preserve">4-Wk Paid</t>
  </si>
  <si>
    <t xml:space="preserve">Avg Weekly</t>
  </si>
  <si>
    <t xml:space="preserve">Next Payment</t>
  </si>
  <si>
    <t xml:space="preserve">Flexibility</t>
  </si>
  <si>
    <t xml:space="preserve">Payroll</t>
  </si>
  <si>
    <t xml:space="preserve">$165k every 2 weeks</t>
  </si>
  <si>
    <t xml:space="preserve">Tax</t>
  </si>
  <si>
    <t xml:space="preserve">$14.2k monthly</t>
  </si>
  <si>
    <t xml:space="preserve">Loan</t>
  </si>
  <si>
    <t xml:space="preserve">$9.8k monthly</t>
  </si>
  <si>
    <t xml:space="preserve">Rent</t>
  </si>
  <si>
    <t xml:space="preserve">$18.5k monthly</t>
  </si>
  <si>
    <t xml:space="preserve">Materials</t>
  </si>
  <si>
    <t xml:space="preserve">Weekly — can defer 15-30 days</t>
  </si>
  <si>
    <t xml:space="preserve">Services</t>
  </si>
  <si>
    <t xml:space="preserve">Monthly/periodic — can negotiate</t>
  </si>
  <si>
    <t xml:space="preserve">Logistics</t>
  </si>
  <si>
    <t xml:space="preserve">Weekly — limited flexibility</t>
  </si>
  <si>
    <t xml:space="preserve">$6.2k monthly — fixed</t>
  </si>
  <si>
    <t xml:space="preserve">AR — Receivables Pipeline  (last 4 completed weeks)</t>
  </si>
  <si>
    <t xml:space="preserve">Customer Segment</t>
  </si>
  <si>
    <t xml:space="preserve">Collected Wks 9-12</t>
  </si>
  <si>
    <t xml:space="preserve">Terms</t>
  </si>
  <si>
    <t xml:space="preserve">Est. Next 4W</t>
  </si>
  <si>
    <t xml:space="preserve">Collection Pattern</t>
  </si>
  <si>
    <t xml:space="preserve">Seg A – Large</t>
  </si>
  <si>
    <t xml:space="preserve">Net 60</t>
  </si>
  <si>
    <t xml:space="preserve">Large chunks every 3-5 weeks per customer</t>
  </si>
  <si>
    <t xml:space="preserve">Seg B – Mid</t>
  </si>
  <si>
    <t xml:space="preserve">Net 30</t>
  </si>
  <si>
    <t xml:space="preserve">Moderate amounts, 1-2 payments/month/customer</t>
  </si>
  <si>
    <t xml:space="preserve">Seg C – Small</t>
  </si>
  <si>
    <t xml:space="preserve">COD/Net 30</t>
  </si>
  <si>
    <t xml:space="preserve">Small amounts most weeks</t>
  </si>
  <si>
    <t xml:space="preserve">Wk</t>
  </si>
  <si>
    <t xml:space="preserve">Base</t>
  </si>
  <si>
    <t xml:space="preserve">Upside</t>
  </si>
  <si>
    <t xml:space="preserve">Downside</t>
  </si>
  <si>
    <t xml:space="preserve">26-Week Cash Forecast — Base, Upside &amp; Downside Scenarios</t>
  </si>
</sst>
</file>

<file path=xl/styles.xml><?xml version="1.0" encoding="utf-8"?>
<styleSheet xmlns="http://schemas.openxmlformats.org/spreadsheetml/2006/main">
  <numFmts count="8">
    <numFmt numFmtId="164" formatCode="General"/>
    <numFmt numFmtId="165" formatCode="dd/mm/yyyy"/>
    <numFmt numFmtId="166" formatCode="#,##0.00"/>
    <numFmt numFmtId="167" formatCode="General"/>
    <numFmt numFmtId="168" formatCode="0"/>
    <numFmt numFmtId="169" formatCode="\$#,##0;[RED]&quot;($&quot;#,##0\);\-"/>
    <numFmt numFmtId="170" formatCode="0%"/>
    <numFmt numFmtId="171" formatCode="\$#,##0"/>
  </numFmts>
  <fonts count="33">
    <font>
      <sz val="11"/>
      <color theme="1"/>
      <name val="Calibri"/>
      <family val="2"/>
      <charset val="1"/>
    </font>
    <font>
      <sz val="10"/>
      <name val="Arial"/>
      <family val="0"/>
    </font>
    <font>
      <sz val="10"/>
      <name val="Arial"/>
      <family val="0"/>
    </font>
    <font>
      <sz val="10"/>
      <name val="Arial"/>
      <family val="0"/>
    </font>
    <font>
      <b val="true"/>
      <sz val="13"/>
      <color rgb="FFFFFFFF"/>
      <name val="Calibri"/>
      <family val="0"/>
      <charset val="1"/>
    </font>
    <font>
      <i val="true"/>
      <sz val="9"/>
      <color rgb="FF8A929E"/>
      <name val="Calibri"/>
      <family val="0"/>
      <charset val="1"/>
    </font>
    <font>
      <b val="true"/>
      <sz val="10"/>
      <color rgb="FF2C3340"/>
      <name val="Calibri"/>
      <family val="0"/>
      <charset val="1"/>
    </font>
    <font>
      <b val="true"/>
      <sz val="10"/>
      <color rgb="FF1F3864"/>
      <name val="Calibri"/>
      <family val="0"/>
      <charset val="1"/>
    </font>
    <font>
      <sz val="10"/>
      <color rgb="FF2C3340"/>
      <name val="Calibri"/>
      <family val="0"/>
      <charset val="1"/>
    </font>
    <font>
      <b val="true"/>
      <sz val="10"/>
      <color rgb="FF000000"/>
      <name val="Calibri"/>
      <family val="0"/>
      <charset val="1"/>
    </font>
    <font>
      <sz val="10"/>
      <color rgb="FF000000"/>
      <name val="Calibri"/>
      <family val="0"/>
      <charset val="1"/>
    </font>
    <font>
      <i val="true"/>
      <sz val="10"/>
      <color rgb="FF555555"/>
      <name val="Calibri"/>
      <family val="0"/>
      <charset val="1"/>
    </font>
    <font>
      <b val="true"/>
      <sz val="11"/>
      <color rgb="FFFFFFFF"/>
      <name val="Calibri"/>
      <family val="0"/>
      <charset val="1"/>
    </font>
    <font>
      <b val="true"/>
      <sz val="9"/>
      <color rgb="FF2C3340"/>
      <name val="Calibri"/>
      <family val="0"/>
      <charset val="1"/>
    </font>
    <font>
      <b val="true"/>
      <sz val="10"/>
      <color rgb="FFC9A227"/>
      <name val="Calibri"/>
      <family val="0"/>
      <charset val="1"/>
    </font>
    <font>
      <b val="true"/>
      <sz val="11"/>
      <color rgb="FFC9A227"/>
      <name val="Calibri"/>
      <family val="0"/>
      <charset val="1"/>
    </font>
    <font>
      <b val="true"/>
      <sz val="9"/>
      <color rgb="FF8A929E"/>
      <name val="Calibri"/>
      <family val="0"/>
      <charset val="1"/>
    </font>
    <font>
      <sz val="9"/>
      <color rgb="FF8A929E"/>
      <name val="Calibri"/>
      <family val="0"/>
      <charset val="1"/>
    </font>
    <font>
      <b val="true"/>
      <sz val="9"/>
      <color rgb="FF1F3864"/>
      <name val="Calibri"/>
      <family val="0"/>
      <charset val="1"/>
    </font>
    <font>
      <b val="true"/>
      <sz val="12"/>
      <color rgb="FFFFFFFF"/>
      <name val="Calibri"/>
      <family val="0"/>
      <charset val="1"/>
    </font>
    <font>
      <i val="true"/>
      <sz val="8"/>
      <color rgb="FF8A929E"/>
      <name val="Calibri"/>
      <family val="0"/>
      <charset val="1"/>
    </font>
    <font>
      <b val="true"/>
      <sz val="10"/>
      <color rgb="FFFFFFFF"/>
      <name val="Calibri"/>
      <family val="0"/>
      <charset val="1"/>
    </font>
    <font>
      <b val="true"/>
      <sz val="8"/>
      <color rgb="FF8A929E"/>
      <name val="Calibri"/>
      <family val="0"/>
      <charset val="1"/>
    </font>
    <font>
      <sz val="10"/>
      <color rgb="FF8A929E"/>
      <name val="Calibri"/>
      <family val="0"/>
      <charset val="1"/>
    </font>
    <font>
      <b val="true"/>
      <sz val="11"/>
      <color rgb="FF2C3340"/>
      <name val="Calibri"/>
      <family val="0"/>
      <charset val="1"/>
    </font>
    <font>
      <sz val="9"/>
      <color rgb="FF2C3340"/>
      <name val="Calibri"/>
      <family val="0"/>
      <charset val="1"/>
    </font>
    <font>
      <b val="true"/>
      <sz val="12"/>
      <color rgb="FF1F3864"/>
      <name val="Calibri"/>
      <family val="0"/>
      <charset val="1"/>
    </font>
    <font>
      <b val="true"/>
      <sz val="11"/>
      <color rgb="FF1F3864"/>
      <name val="Calibri"/>
      <family val="0"/>
      <charset val="1"/>
    </font>
    <font>
      <sz val="8"/>
      <color rgb="FF8A929E"/>
      <name val="Calibri"/>
      <family val="0"/>
      <charset val="1"/>
    </font>
    <font>
      <sz val="8"/>
      <color rgb="FF2C3340"/>
      <name val="Calibri"/>
      <family val="0"/>
      <charset val="1"/>
    </font>
    <font>
      <b val="true"/>
      <sz val="18"/>
      <color rgb="FF000000"/>
      <name val="Calibri"/>
      <family val="2"/>
    </font>
    <font>
      <sz val="10"/>
      <color rgb="FF000000"/>
      <name val="Calibri"/>
      <family val="2"/>
    </font>
    <font>
      <b val="true"/>
      <sz val="10"/>
      <color rgb="FF000000"/>
      <name val="Calibri"/>
      <family val="2"/>
    </font>
  </fonts>
  <fills count="8">
    <fill>
      <patternFill patternType="none"/>
    </fill>
    <fill>
      <patternFill patternType="gray125"/>
    </fill>
    <fill>
      <patternFill patternType="solid">
        <fgColor rgb="FF1F3864"/>
        <bgColor rgb="FF2C3340"/>
      </patternFill>
    </fill>
    <fill>
      <patternFill patternType="solid">
        <fgColor rgb="FFF7F8FA"/>
        <bgColor rgb="FFFFFFFF"/>
      </patternFill>
    </fill>
    <fill>
      <patternFill patternType="solid">
        <fgColor rgb="FFEDEEF0"/>
        <bgColor rgb="FFF7F8FA"/>
      </patternFill>
    </fill>
    <fill>
      <patternFill patternType="solid">
        <fgColor rgb="FFFFFFFF"/>
        <bgColor rgb="FFF7F8FA"/>
      </patternFill>
    </fill>
    <fill>
      <patternFill patternType="solid">
        <fgColor rgb="FFE2E2E2"/>
        <bgColor rgb="FFDDDDDD"/>
      </patternFill>
    </fill>
    <fill>
      <patternFill patternType="solid">
        <fgColor rgb="FFFFF3CD"/>
        <bgColor rgb="FFEDEEF0"/>
      </patternFill>
    </fill>
  </fills>
  <borders count="5">
    <border diagonalUp="false" diagonalDown="false">
      <left/>
      <right/>
      <top/>
      <bottom/>
      <diagonal/>
    </border>
    <border diagonalUp="false" diagonalDown="false">
      <left/>
      <right/>
      <top/>
      <bottom style="thin">
        <color rgb="FFD0D3D8"/>
      </bottom>
      <diagonal/>
    </border>
    <border diagonalUp="false" diagonalDown="false">
      <left/>
      <right/>
      <top/>
      <bottom style="medium">
        <color rgb="FF888888"/>
      </bottom>
      <diagonal/>
    </border>
    <border diagonalUp="false" diagonalDown="false">
      <left/>
      <right/>
      <top/>
      <bottom style="thin">
        <color rgb="FFDDDDDD"/>
      </bottom>
      <diagonal/>
    </border>
    <border diagonalUp="false" diagonalDown="false">
      <left/>
      <right/>
      <top style="thin">
        <color rgb="FFD0D3D8"/>
      </top>
      <bottom style="thin">
        <color rgb="FFD0D3D8"/>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5" fillId="3" borderId="0"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false">
      <alignment horizontal="left" vertical="center" textRotation="0" wrapText="false" indent="0" shrinkToFit="false"/>
      <protection locked="true" hidden="false"/>
    </xf>
    <xf numFmtId="164" fontId="5" fillId="5" borderId="0" xfId="0" applyFont="true" applyBorder="true" applyAlignment="true" applyProtection="false">
      <alignment horizontal="left" vertical="center" textRotation="0" wrapText="true" indent="0" shrinkToFit="false"/>
      <protection locked="true" hidden="false"/>
    </xf>
    <xf numFmtId="164" fontId="7" fillId="5" borderId="1" xfId="0" applyFont="true" applyBorder="true" applyAlignment="true" applyProtection="false">
      <alignment horizontal="left" vertical="center" textRotation="0" wrapText="false" indent="0" shrinkToFit="false"/>
      <protection locked="true" hidden="false"/>
    </xf>
    <xf numFmtId="164" fontId="8" fillId="5" borderId="1" xfId="0" applyFont="true" applyBorder="true" applyAlignment="true" applyProtection="false">
      <alignment horizontal="left" vertical="top" textRotation="0" wrapText="true" indent="0" shrinkToFit="false"/>
      <protection locked="true" hidden="false"/>
    </xf>
    <xf numFmtId="164" fontId="7" fillId="5" borderId="1" xfId="0" applyFont="true" applyBorder="true" applyAlignment="true" applyProtection="false">
      <alignment horizontal="left" vertical="center" textRotation="0" wrapText="true" indent="0" shrinkToFit="false"/>
      <protection locked="true" hidden="false"/>
    </xf>
    <xf numFmtId="164" fontId="9" fillId="6" borderId="2" xfId="0" applyFont="true" applyBorder="true" applyAlignment="true" applyProtection="false">
      <alignment horizontal="left" vertical="center" textRotation="0" wrapText="false" indent="0" shrinkToFit="false"/>
      <protection locked="true" hidden="false"/>
    </xf>
    <xf numFmtId="165" fontId="10" fillId="0" borderId="3" xfId="0" applyFont="true" applyBorder="true" applyAlignment="true" applyProtection="false">
      <alignment horizontal="left" vertical="center" textRotation="0" wrapText="false" indent="0" shrinkToFit="false"/>
      <protection locked="true" hidden="false"/>
    </xf>
    <xf numFmtId="164" fontId="10" fillId="0" borderId="3" xfId="0" applyFont="true" applyBorder="true" applyAlignment="true" applyProtection="false">
      <alignment horizontal="left" vertical="center" textRotation="0" wrapText="false" indent="0" shrinkToFit="false"/>
      <protection locked="true" hidden="false"/>
    </xf>
    <xf numFmtId="166" fontId="10" fillId="0" borderId="3" xfId="0" applyFont="true" applyBorder="true" applyAlignment="true" applyProtection="false">
      <alignment horizontal="right" vertical="center" textRotation="0" wrapText="false" indent="0" shrinkToFit="false"/>
      <protection locked="true" hidden="false"/>
    </xf>
    <xf numFmtId="167" fontId="11" fillId="0" borderId="3" xfId="0" applyFont="true" applyBorder="true" applyAlignment="true" applyProtection="false">
      <alignment horizontal="right" vertical="center" textRotation="0" wrapText="false" indent="0" shrinkToFit="false"/>
      <protection locked="true" hidden="false"/>
    </xf>
    <xf numFmtId="164" fontId="12" fillId="2" borderId="0" xfId="0" applyFont="true" applyBorder="true" applyAlignment="true" applyProtection="false">
      <alignment horizontal="left" vertical="center" textRotation="0" wrapText="false" indent="0" shrinkToFit="false"/>
      <protection locked="true" hidden="false"/>
    </xf>
    <xf numFmtId="164" fontId="13" fillId="4" borderId="1" xfId="0" applyFont="true" applyBorder="true" applyAlignment="true" applyProtection="false">
      <alignment horizontal="left" vertical="center" textRotation="0" wrapText="false" indent="0" shrinkToFit="false"/>
      <protection locked="true" hidden="false"/>
    </xf>
    <xf numFmtId="164" fontId="8" fillId="5" borderId="1" xfId="0" applyFont="true" applyBorder="true" applyAlignment="true" applyProtection="false">
      <alignment horizontal="left" vertical="center" textRotation="0" wrapText="false" indent="0" shrinkToFit="false"/>
      <protection locked="true" hidden="false"/>
    </xf>
    <xf numFmtId="164" fontId="14" fillId="3" borderId="1" xfId="0" applyFont="true" applyBorder="true" applyAlignment="true" applyProtection="false">
      <alignment horizontal="right" vertical="center" textRotation="0" wrapText="false" indent="0" shrinkToFit="false"/>
      <protection locked="true" hidden="false"/>
    </xf>
    <xf numFmtId="164" fontId="5" fillId="5" borderId="1" xfId="0" applyFont="true" applyBorder="true" applyAlignment="true" applyProtection="false">
      <alignment horizontal="left" vertical="center" textRotation="0" wrapText="true" indent="0" shrinkToFit="false"/>
      <protection locked="true" hidden="false"/>
    </xf>
    <xf numFmtId="165" fontId="14" fillId="3" borderId="1" xfId="0" applyFont="true" applyBorder="true" applyAlignment="true" applyProtection="false">
      <alignment horizontal="right" vertical="center" textRotation="0" wrapText="false" indent="0" shrinkToFit="false"/>
      <protection locked="true" hidden="false"/>
    </xf>
    <xf numFmtId="164" fontId="7" fillId="7" borderId="1" xfId="0" applyFont="true" applyBorder="true" applyAlignment="true" applyProtection="false">
      <alignment horizontal="left" vertical="center" textRotation="0" wrapText="false" indent="0" shrinkToFit="false"/>
      <protection locked="true" hidden="false"/>
    </xf>
    <xf numFmtId="165" fontId="15" fillId="7" borderId="1" xfId="0" applyFont="true" applyBorder="true" applyAlignment="true" applyProtection="false">
      <alignment horizontal="right" vertical="center" textRotation="0" wrapText="false" indent="0" shrinkToFit="false"/>
      <protection locked="true" hidden="false"/>
    </xf>
    <xf numFmtId="164" fontId="5" fillId="7" borderId="1" xfId="0" applyFont="true" applyBorder="true" applyAlignment="true" applyProtection="false">
      <alignment horizontal="left" vertical="center" textRotation="0" wrapText="tru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8" fontId="7" fillId="3" borderId="1" xfId="0" applyFont="true" applyBorder="true" applyAlignment="true" applyProtection="false">
      <alignment horizontal="right"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true" indent="0" shrinkToFit="false"/>
      <protection locked="true" hidden="false"/>
    </xf>
    <xf numFmtId="169" fontId="14" fillId="3" borderId="1" xfId="0" applyFont="true" applyBorder="true" applyAlignment="true" applyProtection="false">
      <alignment horizontal="right" vertical="center" textRotation="0" wrapText="false" indent="0" shrinkToFit="false"/>
      <protection locked="true" hidden="false"/>
    </xf>
    <xf numFmtId="164" fontId="5" fillId="3" borderId="0" xfId="0" applyFont="true" applyBorder="true" applyAlignment="true" applyProtection="false">
      <alignment horizontal="left" vertical="center" textRotation="0" wrapText="true" indent="0" shrinkToFit="false"/>
      <protection locked="true" hidden="false"/>
    </xf>
    <xf numFmtId="164" fontId="16" fillId="4" borderId="1" xfId="0" applyFont="true" applyBorder="true" applyAlignment="true" applyProtection="false">
      <alignment horizontal="left" vertical="center" textRotation="0" wrapText="false" indent="0" shrinkToFit="false"/>
      <protection locked="true" hidden="false"/>
    </xf>
    <xf numFmtId="164" fontId="16" fillId="4" borderId="1" xfId="0" applyFont="true" applyBorder="true" applyAlignment="true" applyProtection="false">
      <alignment horizontal="center" vertical="center" textRotation="0" wrapText="false" indent="0" shrinkToFit="false"/>
      <protection locked="true" hidden="false"/>
    </xf>
    <xf numFmtId="164" fontId="17" fillId="5" borderId="1" xfId="0" applyFont="true" applyBorder="true" applyAlignment="true" applyProtection="false">
      <alignment horizontal="center" vertical="center" textRotation="0" wrapText="false" indent="0" shrinkToFit="false"/>
      <protection locked="true" hidden="false"/>
    </xf>
    <xf numFmtId="164" fontId="18" fillId="5" borderId="1" xfId="0" applyFont="true" applyBorder="true" applyAlignment="true" applyProtection="false">
      <alignment horizontal="center" vertical="center" textRotation="0" wrapText="false" indent="0" shrinkToFit="false"/>
      <protection locked="true" hidden="false"/>
    </xf>
    <xf numFmtId="164" fontId="16" fillId="5" borderId="1" xfId="0" applyFont="true" applyBorder="true" applyAlignment="true" applyProtection="false">
      <alignment horizontal="center" vertical="center" textRotation="0" wrapText="false" indent="0" shrinkToFit="false"/>
      <protection locked="true" hidden="false"/>
    </xf>
    <xf numFmtId="170" fontId="14" fillId="3" borderId="1" xfId="0" applyFont="true" applyBorder="true" applyAlignment="true" applyProtection="false">
      <alignment horizontal="right" vertical="center" textRotation="0" wrapText="false" indent="0" shrinkToFit="false"/>
      <protection locked="true" hidden="false"/>
    </xf>
    <xf numFmtId="164" fontId="19" fillId="2" borderId="0" xfId="0" applyFont="true" applyBorder="true" applyAlignment="true" applyProtection="false">
      <alignment horizontal="left" vertical="center" textRotation="0" wrapText="false" indent="0" shrinkToFit="false"/>
      <protection locked="true" hidden="false"/>
    </xf>
    <xf numFmtId="164" fontId="0" fillId="4" borderId="1" xfId="0" applyFont="false" applyBorder="true" applyAlignment="true" applyProtection="false">
      <alignment horizontal="general" vertical="bottom" textRotation="0" wrapText="false" indent="0" shrinkToFit="false"/>
      <protection locked="true" hidden="false"/>
    </xf>
    <xf numFmtId="164" fontId="16" fillId="4" borderId="1" xfId="0" applyFont="true" applyBorder="true" applyAlignment="true" applyProtection="false">
      <alignment horizontal="right" vertical="center" textRotation="0" wrapText="false" indent="0" shrinkToFit="false"/>
      <protection locked="true" hidden="false"/>
    </xf>
    <xf numFmtId="164" fontId="16" fillId="7" borderId="1" xfId="0" applyFont="true" applyBorder="true" applyAlignment="true" applyProtection="false">
      <alignment horizontal="center" vertical="center" textRotation="0" wrapText="false" indent="0" shrinkToFit="false"/>
      <protection locked="true" hidden="false"/>
    </xf>
    <xf numFmtId="164" fontId="20" fillId="5" borderId="1" xfId="0" applyFont="true" applyBorder="true" applyAlignment="true" applyProtection="false">
      <alignment horizontal="general" vertical="bottom" textRotation="0" wrapText="false" indent="0" shrinkToFit="false"/>
      <protection locked="true" hidden="false"/>
    </xf>
    <xf numFmtId="164" fontId="0" fillId="5" borderId="1" xfId="0" applyFont="false" applyBorder="true" applyAlignment="true" applyProtection="false">
      <alignment horizontal="general" vertical="bottom" textRotation="0" wrapText="false" indent="0" shrinkToFit="false"/>
      <protection locked="true" hidden="false"/>
    </xf>
    <xf numFmtId="164" fontId="20" fillId="5" borderId="1" xfId="0" applyFont="true" applyBorder="true" applyAlignment="true" applyProtection="false">
      <alignment horizontal="center" vertical="center" textRotation="0" wrapText="false" indent="0" shrinkToFit="false"/>
      <protection locked="true" hidden="false"/>
    </xf>
    <xf numFmtId="164" fontId="20" fillId="7" borderId="1" xfId="0" applyFont="true" applyBorder="true" applyAlignment="true" applyProtection="false">
      <alignment horizontal="center" vertical="center" textRotation="0" wrapText="false" indent="0" shrinkToFit="false"/>
      <protection locked="true" hidden="false"/>
    </xf>
    <xf numFmtId="164" fontId="21" fillId="2" borderId="1" xfId="0" applyFont="true" applyBorder="true" applyAlignment="true" applyProtection="false">
      <alignment horizontal="left" vertical="center" textRotation="0" wrapText="false" indent="0" shrinkToFit="false"/>
      <protection locked="true" hidden="false"/>
    </xf>
    <xf numFmtId="164" fontId="0" fillId="2" borderId="1" xfId="0" applyFont="false" applyBorder="true" applyAlignment="true" applyProtection="false">
      <alignment horizontal="general" vertical="bottom" textRotation="0" wrapText="false" indent="0" shrinkToFit="false"/>
      <protection locked="true" hidden="false"/>
    </xf>
    <xf numFmtId="169" fontId="21" fillId="2" borderId="1" xfId="0" applyFont="true" applyBorder="true" applyAlignment="true" applyProtection="false">
      <alignment horizontal="right"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9" fontId="8" fillId="4" borderId="1" xfId="0" applyFont="true" applyBorder="true" applyAlignment="true" applyProtection="false">
      <alignment horizontal="right" vertical="center" textRotation="0" wrapText="false" indent="0" shrinkToFit="false"/>
      <protection locked="true" hidden="false"/>
    </xf>
    <xf numFmtId="169" fontId="8" fillId="3" borderId="1" xfId="0" applyFont="true" applyBorder="true" applyAlignment="true" applyProtection="false">
      <alignment horizontal="right" vertical="center" textRotation="0" wrapText="false" indent="0" shrinkToFit="false"/>
      <protection locked="true" hidden="false"/>
    </xf>
    <xf numFmtId="169" fontId="8" fillId="7" borderId="1" xfId="0" applyFont="true" applyBorder="true" applyAlignment="true" applyProtection="false">
      <alignment horizontal="right" vertical="center" textRotation="0" wrapText="false" indent="0" shrinkToFit="false"/>
      <protection locked="true" hidden="false"/>
    </xf>
    <xf numFmtId="169" fontId="8" fillId="5" borderId="1" xfId="0" applyFont="true" applyBorder="true" applyAlignment="true" applyProtection="false">
      <alignment horizontal="right" vertical="center" textRotation="0" wrapText="false" indent="0" shrinkToFit="false"/>
      <protection locked="true" hidden="false"/>
    </xf>
    <xf numFmtId="164" fontId="21" fillId="2" borderId="4" xfId="0" applyFont="true" applyBorder="true" applyAlignment="true" applyProtection="false">
      <alignment horizontal="left" vertical="center" textRotation="0" wrapText="false" indent="0" shrinkToFit="false"/>
      <protection locked="true" hidden="false"/>
    </xf>
    <xf numFmtId="169" fontId="21" fillId="4" borderId="1" xfId="0" applyFont="true" applyBorder="true" applyAlignment="true" applyProtection="false">
      <alignment horizontal="right" vertical="center" textRotation="0" wrapText="false" indent="0" shrinkToFit="false"/>
      <protection locked="true" hidden="false"/>
    </xf>
    <xf numFmtId="169" fontId="21" fillId="4" borderId="4" xfId="0" applyFont="true" applyBorder="true" applyAlignment="true" applyProtection="false">
      <alignment horizontal="right" vertical="center" textRotation="0" wrapText="false" indent="0" shrinkToFit="false"/>
      <protection locked="true" hidden="false"/>
    </xf>
    <xf numFmtId="169" fontId="21" fillId="7" borderId="4" xfId="0" applyFont="true" applyBorder="true" applyAlignment="true" applyProtection="false">
      <alignment horizontal="right" vertical="center" textRotation="0" wrapText="false" indent="0" shrinkToFit="false"/>
      <protection locked="true" hidden="false"/>
    </xf>
    <xf numFmtId="169" fontId="21" fillId="2" borderId="4" xfId="0" applyFont="true" applyBorder="true" applyAlignment="true" applyProtection="false">
      <alignment horizontal="right" vertical="center" textRotation="0" wrapText="false" indent="0" shrinkToFit="false"/>
      <protection locked="true" hidden="false"/>
    </xf>
    <xf numFmtId="164" fontId="6" fillId="4" borderId="4" xfId="0" applyFont="true" applyBorder="true" applyAlignment="true" applyProtection="false">
      <alignment horizontal="left" vertical="center" textRotation="0" wrapText="false" indent="0" shrinkToFit="false"/>
      <protection locked="true" hidden="false"/>
    </xf>
    <xf numFmtId="169" fontId="6" fillId="4" borderId="1" xfId="0" applyFont="true" applyBorder="true" applyAlignment="true" applyProtection="false">
      <alignment horizontal="right" vertical="center" textRotation="0" wrapText="false" indent="0" shrinkToFit="false"/>
      <protection locked="true" hidden="false"/>
    </xf>
    <xf numFmtId="169" fontId="6" fillId="4" borderId="4" xfId="0" applyFont="true" applyBorder="true" applyAlignment="true" applyProtection="false">
      <alignment horizontal="right" vertical="center" textRotation="0" wrapText="false" indent="0" shrinkToFit="false"/>
      <protection locked="true" hidden="false"/>
    </xf>
    <xf numFmtId="169" fontId="6" fillId="7" borderId="4" xfId="0" applyFont="true" applyBorder="true" applyAlignment="true" applyProtection="false">
      <alignment horizontal="right" vertical="center" textRotation="0" wrapText="false" indent="0" shrinkToFit="false"/>
      <protection locked="true" hidden="false"/>
    </xf>
    <xf numFmtId="169" fontId="21" fillId="7" borderId="1" xfId="0" applyFont="true" applyBorder="true" applyAlignment="true" applyProtection="false">
      <alignment horizontal="right" vertical="center" textRotation="0" wrapText="false" indent="0" shrinkToFit="false"/>
      <protection locked="true" hidden="false"/>
    </xf>
    <xf numFmtId="164" fontId="12" fillId="2" borderId="1" xfId="0" applyFont="true" applyBorder="true" applyAlignment="true" applyProtection="false">
      <alignment horizontal="left" vertical="center" textRotation="0" wrapText="false" indent="0" shrinkToFit="false"/>
      <protection locked="true" hidden="false"/>
    </xf>
    <xf numFmtId="169" fontId="12" fillId="4" borderId="1" xfId="0" applyFont="true" applyBorder="true" applyAlignment="true" applyProtection="false">
      <alignment horizontal="right" vertical="center" textRotation="0" wrapText="false" indent="0" shrinkToFit="false"/>
      <protection locked="true" hidden="false"/>
    </xf>
    <xf numFmtId="169" fontId="12" fillId="2" borderId="1" xfId="0" applyFont="true" applyBorder="true" applyAlignment="true" applyProtection="false">
      <alignment horizontal="right" vertical="center" textRotation="0" wrapText="false" indent="0" shrinkToFit="false"/>
      <protection locked="true" hidden="false"/>
    </xf>
    <xf numFmtId="169" fontId="12" fillId="7" borderId="1" xfId="0" applyFont="true" applyBorder="true" applyAlignment="true" applyProtection="false">
      <alignment horizontal="right" vertical="center" textRotation="0" wrapText="false" indent="0" shrinkToFit="false"/>
      <protection locked="true" hidden="false"/>
    </xf>
    <xf numFmtId="164" fontId="20" fillId="5" borderId="1" xfId="0" applyFont="true" applyBorder="true" applyAlignment="true" applyProtection="false">
      <alignment horizontal="left" vertical="center" textRotation="0" wrapText="false" indent="0" shrinkToFit="false"/>
      <protection locked="true" hidden="false"/>
    </xf>
    <xf numFmtId="169" fontId="20" fillId="5" borderId="1" xfId="0" applyFont="true" applyBorder="true" applyAlignment="true" applyProtection="false">
      <alignment horizontal="right" vertical="center" textRotation="0" wrapText="false" indent="0" shrinkToFit="false"/>
      <protection locked="true" hidden="false"/>
    </xf>
    <xf numFmtId="164" fontId="22" fillId="4" borderId="1" xfId="0" applyFont="true" applyBorder="true" applyAlignment="true" applyProtection="false">
      <alignment horizontal="center" vertical="center" textRotation="0" wrapText="false" indent="0" shrinkToFit="false"/>
      <protection locked="true" hidden="false"/>
    </xf>
    <xf numFmtId="164" fontId="23" fillId="3" borderId="1" xfId="0" applyFont="true" applyBorder="true" applyAlignment="true" applyProtection="false">
      <alignment horizontal="left" vertical="center" textRotation="0" wrapText="false" indent="0" shrinkToFit="false"/>
      <protection locked="true" hidden="false"/>
    </xf>
    <xf numFmtId="169" fontId="23" fillId="4" borderId="1" xfId="0" applyFont="true" applyBorder="true" applyAlignment="true" applyProtection="false">
      <alignment horizontal="right" vertical="center" textRotation="0" wrapText="false" indent="0" shrinkToFit="false"/>
      <protection locked="true" hidden="false"/>
    </xf>
    <xf numFmtId="169" fontId="23" fillId="3" borderId="1" xfId="0" applyFont="true" applyBorder="true" applyAlignment="true" applyProtection="false">
      <alignment horizontal="right" vertical="center" textRotation="0" wrapText="false" indent="0" shrinkToFit="false"/>
      <protection locked="true" hidden="false"/>
    </xf>
    <xf numFmtId="169" fontId="24" fillId="7" borderId="1" xfId="0" applyFont="true" applyBorder="true" applyAlignment="true" applyProtection="false">
      <alignment horizontal="right" vertical="center" textRotation="0" wrapText="false" indent="0" shrinkToFit="false"/>
      <protection locked="true" hidden="false"/>
    </xf>
    <xf numFmtId="169" fontId="25" fillId="5" borderId="1" xfId="0" applyFont="true" applyBorder="true" applyAlignment="true" applyProtection="false">
      <alignment horizontal="right" vertical="center" textRotation="0" wrapText="false" indent="0" shrinkToFit="false"/>
      <protection locked="true" hidden="false"/>
    </xf>
    <xf numFmtId="169" fontId="25" fillId="3" borderId="1" xfId="0" applyFont="true" applyBorder="true" applyAlignment="true" applyProtection="false">
      <alignment horizontal="right" vertical="center" textRotation="0" wrapText="false" indent="0" shrinkToFit="false"/>
      <protection locked="true" hidden="false"/>
    </xf>
    <xf numFmtId="169" fontId="13" fillId="4" borderId="1" xfId="0" applyFont="true" applyBorder="true" applyAlignment="true" applyProtection="false">
      <alignment horizontal="right" vertical="center" textRotation="0" wrapText="false" indent="0" shrinkToFit="false"/>
      <protection locked="true" hidden="false"/>
    </xf>
    <xf numFmtId="164" fontId="7" fillId="7" borderId="0" xfId="0" applyFont="true" applyBorder="true" applyAlignment="true" applyProtection="false">
      <alignment horizontal="left" vertical="center" textRotation="0" wrapText="false" indent="0" shrinkToFit="false"/>
      <protection locked="true" hidden="false"/>
    </xf>
    <xf numFmtId="169" fontId="26" fillId="5" borderId="1" xfId="0" applyFont="true" applyBorder="true" applyAlignment="true" applyProtection="false">
      <alignment horizontal="center" vertical="center" textRotation="0" wrapText="false" indent="0" shrinkToFit="false"/>
      <protection locked="true" hidden="false"/>
    </xf>
    <xf numFmtId="164" fontId="22" fillId="4" borderId="1" xfId="0" applyFont="true" applyBorder="true" applyAlignment="true" applyProtection="false">
      <alignment horizontal="center" vertical="center" textRotation="0" wrapText="true" indent="0" shrinkToFit="false"/>
      <protection locked="true" hidden="false"/>
    </xf>
    <xf numFmtId="169" fontId="27" fillId="5" borderId="1" xfId="0" applyFont="true" applyBorder="true" applyAlignment="true" applyProtection="false">
      <alignment horizontal="center" vertical="center" textRotation="0" wrapText="false" indent="0" shrinkToFit="false"/>
      <protection locked="true" hidden="false"/>
    </xf>
    <xf numFmtId="169" fontId="6" fillId="3" borderId="1" xfId="0" applyFont="true" applyBorder="true" applyAlignment="true" applyProtection="false">
      <alignment horizontal="right" vertical="center" textRotation="0" wrapText="false" indent="0" shrinkToFit="false"/>
      <protection locked="true" hidden="false"/>
    </xf>
    <xf numFmtId="164" fontId="28" fillId="0" borderId="1" xfId="0" applyFont="true" applyBorder="true" applyAlignment="true" applyProtection="false">
      <alignment horizontal="general" vertical="bottom" textRotation="0" wrapText="false" indent="0" shrinkToFit="false"/>
      <protection locked="true" hidden="false"/>
    </xf>
    <xf numFmtId="169" fontId="29" fillId="0" borderId="1" xfId="0" applyFont="true" applyBorder="tru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bgColor rgb="FFFFF3CD"/>
        </patternFill>
      </fill>
    </dxf>
  </dxfs>
  <colors>
    <indexedColors>
      <rgbColor rgb="FF000000"/>
      <rgbColor rgb="FFFFFFFF"/>
      <rgbColor rgb="FFC00000"/>
      <rgbColor rgb="FF00FF00"/>
      <rgbColor rgb="FF0000FF"/>
      <rgbColor rgb="FFFFFF00"/>
      <rgbColor rgb="FFFF00FF"/>
      <rgbColor rgb="FF00FFFF"/>
      <rgbColor rgb="FF9E1414"/>
      <rgbColor rgb="FF008000"/>
      <rgbColor rgb="FF000080"/>
      <rgbColor rgb="FF808000"/>
      <rgbColor rgb="FF800080"/>
      <rgbColor rgb="FF008080"/>
      <rgbColor rgb="FFB3B3B3"/>
      <rgbColor rgb="FF878787"/>
      <rgbColor rgb="FF888888"/>
      <rgbColor rgb="FF993366"/>
      <rgbColor rgb="FFFFF3CD"/>
      <rgbColor rgb="FFEDEEF0"/>
      <rgbColor rgb="FF660066"/>
      <rgbColor rgb="FFFF8080"/>
      <rgbColor rgb="FF0066CC"/>
      <rgbColor rgb="FFD0D3D8"/>
      <rgbColor rgb="FF000080"/>
      <rgbColor rgb="FFFF00FF"/>
      <rgbColor rgb="FFFFFF00"/>
      <rgbColor rgb="FF00FFFF"/>
      <rgbColor rgb="FF800080"/>
      <rgbColor rgb="FF800000"/>
      <rgbColor rgb="FF008080"/>
      <rgbColor rgb="FF0000FF"/>
      <rgbColor rgb="FF00CCFF"/>
      <rgbColor rgb="FFF7F8FA"/>
      <rgbColor rgb="FFE2E2E2"/>
      <rgbColor rgb="FFDDDDDD"/>
      <rgbColor rgb="FF99CCFF"/>
      <rgbColor rgb="FFFF99CC"/>
      <rgbColor rgb="FFCC99FF"/>
      <rgbColor rgb="FFD9D9D9"/>
      <rgbColor rgb="FF2E75B6"/>
      <rgbColor rgb="FF33CCCC"/>
      <rgbColor rgb="FF99CC00"/>
      <rgbColor rgb="FFFFCC00"/>
      <rgbColor rgb="FFC9A227"/>
      <rgbColor rgb="FFFF6600"/>
      <rgbColor rgb="FF555555"/>
      <rgbColor rgb="FF8A929E"/>
      <rgbColor rgb="FF1F3864"/>
      <rgbColor rgb="FF339966"/>
      <rgbColor rgb="FF003300"/>
      <rgbColor rgb="FF375623"/>
      <rgbColor rgb="FF993300"/>
      <rgbColor rgb="FF993366"/>
      <rgbColor rgb="FF333399"/>
      <rgbColor rgb="FF2C33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Ending Cash Balance — 3 Scenarios</a:t>
            </a:r>
          </a:p>
        </c:rich>
      </c:tx>
      <c:overlay val="0"/>
      <c:spPr>
        <a:noFill/>
        <a:ln w="0">
          <a:noFill/>
        </a:ln>
      </c:spPr>
    </c:title>
    <c:autoTitleDeleted val="0"/>
    <c:plotArea>
      <c:lineChart>
        <c:grouping val="standard"/>
        <c:varyColors val="0"/>
        <c:ser>
          <c:idx val="0"/>
          <c:order val="0"/>
          <c:tx>
            <c:strRef>
              <c:f>"Base Forecast"</c:f>
              <c:strCache>
                <c:ptCount val="1"/>
                <c:pt idx="0">
                  <c:v>Base Forecast</c:v>
                </c:pt>
              </c:strCache>
            </c:strRef>
          </c:tx>
          <c:spPr>
            <a:solidFill>
              <a:srgbClr val="2e75b6"/>
            </a:solidFill>
            <a:ln w="20160">
              <a:solidFill>
                <a:srgbClr val="2e75b6"/>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Dashboard!$I$5:$I$30</c:f>
              <c:strCache>
                <c:ptCount val="26"/>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Wk</c:v>
                </c:pt>
                <c:pt idx="24">
                  <c:v>Wk 1</c:v>
                </c:pt>
                <c:pt idx="25">
                  <c:v>Wk 2</c:v>
                </c:pt>
              </c:strCache>
            </c:strRef>
          </c:cat>
          <c:val>
            <c:numRef>
              <c:f>Dashboard!$J$5:$J$30</c:f>
              <c:numCache>
                <c:formatCode>\$#,##0;[RED]"($"#,##0\);\-</c:formatCode>
                <c:ptCount val="26"/>
                <c:pt idx="24">
                  <c:v>780000</c:v>
                </c:pt>
                <c:pt idx="25">
                  <c:v>1162700</c:v>
                </c:pt>
              </c:numCache>
            </c:numRef>
          </c:val>
          <c:smooth val="1"/>
        </c:ser>
        <c:ser>
          <c:idx val="1"/>
          <c:order val="1"/>
          <c:tx>
            <c:strRef>
              <c:f>"Upside Scenario"</c:f>
              <c:strCache>
                <c:ptCount val="1"/>
                <c:pt idx="0">
                  <c:v>Upside Scenario</c:v>
                </c:pt>
              </c:strCache>
            </c:strRef>
          </c:tx>
          <c:spPr>
            <a:solidFill>
              <a:srgbClr val="375623"/>
            </a:solidFill>
            <a:ln w="15120">
              <a:solidFill>
                <a:srgbClr val="375623"/>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Dashboard!$I$5:$I$30</c:f>
              <c:strCache>
                <c:ptCount val="26"/>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Wk</c:v>
                </c:pt>
                <c:pt idx="24">
                  <c:v>Wk 1</c:v>
                </c:pt>
                <c:pt idx="25">
                  <c:v>Wk 2</c:v>
                </c:pt>
              </c:strCache>
            </c:strRef>
          </c:cat>
          <c:val>
            <c:numRef>
              <c:f>Dashboard!$K$5:$K$30</c:f>
              <c:numCache>
                <c:formatCode>\$#,##0;[RED]"($"#,##0\);\-</c:formatCode>
                <c:ptCount val="26"/>
                <c:pt idx="24">
                  <c:v>780000</c:v>
                </c:pt>
                <c:pt idx="25">
                  <c:v>1162700</c:v>
                </c:pt>
              </c:numCache>
            </c:numRef>
          </c:val>
          <c:smooth val="1"/>
        </c:ser>
        <c:ser>
          <c:idx val="2"/>
          <c:order val="2"/>
          <c:tx>
            <c:strRef>
              <c:f>"Downside Scenario"</c:f>
              <c:strCache>
                <c:ptCount val="1"/>
                <c:pt idx="0">
                  <c:v>Downside Scenario</c:v>
                </c:pt>
              </c:strCache>
            </c:strRef>
          </c:tx>
          <c:spPr>
            <a:solidFill>
              <a:srgbClr val="c00000"/>
            </a:solidFill>
            <a:ln w="15120">
              <a:solidFill>
                <a:srgbClr val="c00000"/>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Dashboard!$I$5:$I$30</c:f>
              <c:strCache>
                <c:ptCount val="26"/>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Wk</c:v>
                </c:pt>
                <c:pt idx="24">
                  <c:v>Wk 1</c:v>
                </c:pt>
                <c:pt idx="25">
                  <c:v>Wk 2</c:v>
                </c:pt>
              </c:strCache>
            </c:strRef>
          </c:cat>
          <c:val>
            <c:numRef>
              <c:f>Dashboard!$L$5:$L$30</c:f>
              <c:numCache>
                <c:formatCode>\$#,##0;[RED]"($"#,##0\);\-</c:formatCode>
                <c:ptCount val="26"/>
                <c:pt idx="24">
                  <c:v>780000</c:v>
                </c:pt>
                <c:pt idx="25">
                  <c:v>1162700</c:v>
                </c:pt>
              </c:numCache>
            </c:numRef>
          </c:val>
          <c:smooth val="1"/>
        </c:ser>
        <c:hiLowLines>
          <c:spPr>
            <a:ln w="0">
              <a:noFill/>
            </a:ln>
          </c:spPr>
        </c:hiLowLines>
        <c:marker val="0"/>
        <c:axId val="48019806"/>
        <c:axId val="61607243"/>
      </c:lineChart>
      <c:catAx>
        <c:axId val="48019806"/>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Week</a:t>
                </a:r>
              </a:p>
            </c:rich>
          </c:tx>
          <c:overlay val="0"/>
          <c:spPr>
            <a:noFill/>
            <a:ln w="0">
              <a:noFill/>
            </a:ln>
          </c:spPr>
        </c:title>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61607243"/>
        <c:crosses val="autoZero"/>
        <c:auto val="1"/>
        <c:lblAlgn val="ctr"/>
        <c:lblOffset val="100"/>
        <c:noMultiLvlLbl val="0"/>
      </c:catAx>
      <c:valAx>
        <c:axId val="61607243"/>
        <c:scaling>
          <c:orientation val="minMax"/>
        </c:scaling>
        <c:delete val="0"/>
        <c:axPos val="l"/>
        <c:title>
          <c:tx>
            <c:rich>
              <a:bodyPr rot="-5400000"/>
              <a:lstStyle/>
              <a:p>
                <a:pPr>
                  <a:defRPr b="1" sz="1000" spc="-1" strike="noStrike">
                    <a:solidFill>
                      <a:srgbClr val="000000"/>
                    </a:solidFill>
                    <a:latin typeface="Calibri"/>
                  </a:defRPr>
                </a:pPr>
                <a:r>
                  <a:rPr b="1" sz="1000" spc="-1" strike="noStrike">
                    <a:solidFill>
                      <a:srgbClr val="000000"/>
                    </a:solidFill>
                    <a:latin typeface="Calibri"/>
                  </a:rPr>
                  <a:t>Cash Balance ($)</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48019806"/>
        <c:crosses val="autoZero"/>
        <c:crossBetween val="between"/>
      </c:valAx>
      <c:spPr>
        <a:noFill/>
        <a:ln w="0">
          <a:noFill/>
        </a:ln>
      </c:spPr>
    </c:plotArea>
    <c:legend>
      <c:legendPos val="b"/>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ineChart>
        <c:grouping val="standard"/>
        <c:varyColors val="0"/>
        <c:ser>
          <c:idx val="0"/>
          <c:order val="0"/>
          <c:tx>
            <c:strRef>
              <c:f>"Base Forecast"</c:f>
              <c:strCache>
                <c:ptCount val="1"/>
                <c:pt idx="0">
                  <c:v>Base Forecast</c:v>
                </c:pt>
              </c:strCache>
            </c:strRef>
          </c:tx>
          <c:spPr>
            <a:solidFill>
              <a:srgbClr val="2e75b6"/>
            </a:solidFill>
            <a:ln w="18000">
              <a:solidFill>
                <a:srgbClr val="2e75b6"/>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Dashboard!$I$29:$I$54</c:f>
              <c:strCache>
                <c:ptCount val="26"/>
                <c:pt idx="0">
                  <c:v>Wk 1</c:v>
                </c:pt>
                <c:pt idx="1">
                  <c:v>Wk 2</c:v>
                </c:pt>
                <c:pt idx="2">
                  <c:v>Wk 3</c:v>
                </c:pt>
                <c:pt idx="3">
                  <c:v>Wk 4</c:v>
                </c:pt>
                <c:pt idx="4">
                  <c:v>Wk 5</c:v>
                </c:pt>
                <c:pt idx="5">
                  <c:v>Wk 6</c:v>
                </c:pt>
                <c:pt idx="6">
                  <c:v>Wk 7</c:v>
                </c:pt>
                <c:pt idx="7">
                  <c:v>Wk 8</c:v>
                </c:pt>
                <c:pt idx="8">
                  <c:v>Wk 9</c:v>
                </c:pt>
                <c:pt idx="9">
                  <c:v>Wk 10</c:v>
                </c:pt>
                <c:pt idx="10">
                  <c:v>Wk 11</c:v>
                </c:pt>
                <c:pt idx="11">
                  <c:v>Wk 12</c:v>
                </c:pt>
                <c:pt idx="12">
                  <c:v>Wk 13</c:v>
                </c:pt>
                <c:pt idx="13">
                  <c:v>Wk 14</c:v>
                </c:pt>
                <c:pt idx="14">
                  <c:v>Wk 15</c:v>
                </c:pt>
                <c:pt idx="15">
                  <c:v>Wk 16</c:v>
                </c:pt>
                <c:pt idx="16">
                  <c:v>Wk 17</c:v>
                </c:pt>
                <c:pt idx="17">
                  <c:v>Wk 18</c:v>
                </c:pt>
                <c:pt idx="18">
                  <c:v>Wk 19</c:v>
                </c:pt>
                <c:pt idx="19">
                  <c:v>Wk 20</c:v>
                </c:pt>
                <c:pt idx="20">
                  <c:v>Wk 21</c:v>
                </c:pt>
                <c:pt idx="21">
                  <c:v>Wk 22</c:v>
                </c:pt>
                <c:pt idx="22">
                  <c:v>Wk 23</c:v>
                </c:pt>
                <c:pt idx="23">
                  <c:v>Wk 24</c:v>
                </c:pt>
                <c:pt idx="24">
                  <c:v>Wk 25</c:v>
                </c:pt>
                <c:pt idx="25">
                  <c:v>Wk 26</c:v>
                </c:pt>
              </c:strCache>
            </c:strRef>
          </c:cat>
          <c:val>
            <c:numRef>
              <c:f>Dashboard!$J$29:$J$54</c:f>
              <c:numCache>
                <c:formatCode>\$#,##0;[RED]"($"#,##0\);\-</c:formatCode>
                <c:ptCount val="26"/>
                <c:pt idx="0">
                  <c:v>780000</c:v>
                </c:pt>
                <c:pt idx="1">
                  <c:v>1162700</c:v>
                </c:pt>
                <c:pt idx="2">
                  <c:v>1496400</c:v>
                </c:pt>
                <c:pt idx="3">
                  <c:v>1883500</c:v>
                </c:pt>
                <c:pt idx="4">
                  <c:v>1812500</c:v>
                </c:pt>
                <c:pt idx="5">
                  <c:v>1819400</c:v>
                </c:pt>
                <c:pt idx="6">
                  <c:v>1788600</c:v>
                </c:pt>
                <c:pt idx="7">
                  <c:v>2176600</c:v>
                </c:pt>
                <c:pt idx="8">
                  <c:v>2177400</c:v>
                </c:pt>
                <c:pt idx="9">
                  <c:v>2420600</c:v>
                </c:pt>
                <c:pt idx="10">
                  <c:v>2233800</c:v>
                </c:pt>
                <c:pt idx="11">
                  <c:v>2172500</c:v>
                </c:pt>
                <c:pt idx="12">
                  <c:v>2174500</c:v>
                </c:pt>
                <c:pt idx="13">
                  <c:v>2337700</c:v>
                </c:pt>
                <c:pt idx="14">
                  <c:v>2151800</c:v>
                </c:pt>
                <c:pt idx="15">
                  <c:v>2124700</c:v>
                </c:pt>
                <c:pt idx="16">
                  <c:v>2072900</c:v>
                </c:pt>
                <c:pt idx="17">
                  <c:v>2313700</c:v>
                </c:pt>
                <c:pt idx="18">
                  <c:v>2171700</c:v>
                </c:pt>
                <c:pt idx="19">
                  <c:v>2098900</c:v>
                </c:pt>
                <c:pt idx="20">
                  <c:v>2032800</c:v>
                </c:pt>
                <c:pt idx="21">
                  <c:v>2234900</c:v>
                </c:pt>
                <c:pt idx="22">
                  <c:v>2091100</c:v>
                </c:pt>
                <c:pt idx="23">
                  <c:v>2035500</c:v>
                </c:pt>
                <c:pt idx="24">
                  <c:v>1958900</c:v>
                </c:pt>
                <c:pt idx="25">
                  <c:v>2193000</c:v>
                </c:pt>
              </c:numCache>
            </c:numRef>
          </c:val>
          <c:smooth val="1"/>
        </c:ser>
        <c:ser>
          <c:idx val="1"/>
          <c:order val="1"/>
          <c:tx>
            <c:strRef>
              <c:f>"Upside"</c:f>
              <c:strCache>
                <c:ptCount val="1"/>
                <c:pt idx="0">
                  <c:v>Upside</c:v>
                </c:pt>
              </c:strCache>
            </c:strRef>
          </c:tx>
          <c:spPr>
            <a:solidFill>
              <a:srgbClr val="375623"/>
            </a:solidFill>
            <a:ln w="11880">
              <a:solidFill>
                <a:srgbClr val="375623"/>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Dashboard!$I$29:$I$54</c:f>
              <c:strCache>
                <c:ptCount val="26"/>
                <c:pt idx="0">
                  <c:v>Wk 1</c:v>
                </c:pt>
                <c:pt idx="1">
                  <c:v>Wk 2</c:v>
                </c:pt>
                <c:pt idx="2">
                  <c:v>Wk 3</c:v>
                </c:pt>
                <c:pt idx="3">
                  <c:v>Wk 4</c:v>
                </c:pt>
                <c:pt idx="4">
                  <c:v>Wk 5</c:v>
                </c:pt>
                <c:pt idx="5">
                  <c:v>Wk 6</c:v>
                </c:pt>
                <c:pt idx="6">
                  <c:v>Wk 7</c:v>
                </c:pt>
                <c:pt idx="7">
                  <c:v>Wk 8</c:v>
                </c:pt>
                <c:pt idx="8">
                  <c:v>Wk 9</c:v>
                </c:pt>
                <c:pt idx="9">
                  <c:v>Wk 10</c:v>
                </c:pt>
                <c:pt idx="10">
                  <c:v>Wk 11</c:v>
                </c:pt>
                <c:pt idx="11">
                  <c:v>Wk 12</c:v>
                </c:pt>
                <c:pt idx="12">
                  <c:v>Wk 13</c:v>
                </c:pt>
                <c:pt idx="13">
                  <c:v>Wk 14</c:v>
                </c:pt>
                <c:pt idx="14">
                  <c:v>Wk 15</c:v>
                </c:pt>
                <c:pt idx="15">
                  <c:v>Wk 16</c:v>
                </c:pt>
                <c:pt idx="16">
                  <c:v>Wk 17</c:v>
                </c:pt>
                <c:pt idx="17">
                  <c:v>Wk 18</c:v>
                </c:pt>
                <c:pt idx="18">
                  <c:v>Wk 19</c:v>
                </c:pt>
                <c:pt idx="19">
                  <c:v>Wk 20</c:v>
                </c:pt>
                <c:pt idx="20">
                  <c:v>Wk 21</c:v>
                </c:pt>
                <c:pt idx="21">
                  <c:v>Wk 22</c:v>
                </c:pt>
                <c:pt idx="22">
                  <c:v>Wk 23</c:v>
                </c:pt>
                <c:pt idx="23">
                  <c:v>Wk 24</c:v>
                </c:pt>
                <c:pt idx="24">
                  <c:v>Wk 25</c:v>
                </c:pt>
                <c:pt idx="25">
                  <c:v>Wk 26</c:v>
                </c:pt>
              </c:strCache>
            </c:strRef>
          </c:cat>
          <c:val>
            <c:numRef>
              <c:f>Dashboard!$K$29:$K$54</c:f>
              <c:numCache>
                <c:formatCode>\$#,##0;[RED]"($"#,##0\);\-</c:formatCode>
                <c:ptCount val="26"/>
                <c:pt idx="0">
                  <c:v>780000</c:v>
                </c:pt>
                <c:pt idx="1">
                  <c:v>1162700</c:v>
                </c:pt>
                <c:pt idx="2">
                  <c:v>1496400</c:v>
                </c:pt>
                <c:pt idx="3">
                  <c:v>1883500</c:v>
                </c:pt>
                <c:pt idx="4">
                  <c:v>1812500</c:v>
                </c:pt>
                <c:pt idx="5">
                  <c:v>1819400</c:v>
                </c:pt>
                <c:pt idx="6">
                  <c:v>1788600</c:v>
                </c:pt>
                <c:pt idx="7">
                  <c:v>2176600</c:v>
                </c:pt>
                <c:pt idx="8">
                  <c:v>2177400</c:v>
                </c:pt>
                <c:pt idx="9">
                  <c:v>2420600</c:v>
                </c:pt>
                <c:pt idx="10">
                  <c:v>2233800</c:v>
                </c:pt>
                <c:pt idx="11">
                  <c:v>2172500</c:v>
                </c:pt>
                <c:pt idx="12">
                  <c:v>2174500</c:v>
                </c:pt>
                <c:pt idx="13">
                  <c:v>2337700</c:v>
                </c:pt>
                <c:pt idx="14">
                  <c:v>2151800</c:v>
                </c:pt>
                <c:pt idx="15">
                  <c:v>2124700</c:v>
                </c:pt>
                <c:pt idx="16">
                  <c:v>2072900</c:v>
                </c:pt>
                <c:pt idx="17">
                  <c:v>2366870</c:v>
                </c:pt>
                <c:pt idx="18">
                  <c:v>2268845</c:v>
                </c:pt>
                <c:pt idx="19">
                  <c:v>2206725</c:v>
                </c:pt>
                <c:pt idx="20">
                  <c:v>2204535</c:v>
                </c:pt>
                <c:pt idx="21">
                  <c:v>2461225</c:v>
                </c:pt>
                <c:pt idx="22">
                  <c:v>2362705</c:v>
                </c:pt>
                <c:pt idx="23">
                  <c:v>2316190</c:v>
                </c:pt>
                <c:pt idx="24">
                  <c:v>2303725</c:v>
                </c:pt>
                <c:pt idx="25">
                  <c:v>2595290</c:v>
                </c:pt>
              </c:numCache>
            </c:numRef>
          </c:val>
          <c:smooth val="1"/>
        </c:ser>
        <c:ser>
          <c:idx val="2"/>
          <c:order val="2"/>
          <c:tx>
            <c:strRef>
              <c:f>"Downside"</c:f>
              <c:strCache>
                <c:ptCount val="1"/>
                <c:pt idx="0">
                  <c:v>Downside</c:v>
                </c:pt>
              </c:strCache>
            </c:strRef>
          </c:tx>
          <c:spPr>
            <a:solidFill>
              <a:srgbClr val="9e1414"/>
            </a:solidFill>
            <a:ln w="11880">
              <a:solidFill>
                <a:srgbClr val="9e1414"/>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Dashboard!$I$29:$I$54</c:f>
              <c:strCache>
                <c:ptCount val="26"/>
                <c:pt idx="0">
                  <c:v>Wk 1</c:v>
                </c:pt>
                <c:pt idx="1">
                  <c:v>Wk 2</c:v>
                </c:pt>
                <c:pt idx="2">
                  <c:v>Wk 3</c:v>
                </c:pt>
                <c:pt idx="3">
                  <c:v>Wk 4</c:v>
                </c:pt>
                <c:pt idx="4">
                  <c:v>Wk 5</c:v>
                </c:pt>
                <c:pt idx="5">
                  <c:v>Wk 6</c:v>
                </c:pt>
                <c:pt idx="6">
                  <c:v>Wk 7</c:v>
                </c:pt>
                <c:pt idx="7">
                  <c:v>Wk 8</c:v>
                </c:pt>
                <c:pt idx="8">
                  <c:v>Wk 9</c:v>
                </c:pt>
                <c:pt idx="9">
                  <c:v>Wk 10</c:v>
                </c:pt>
                <c:pt idx="10">
                  <c:v>Wk 11</c:v>
                </c:pt>
                <c:pt idx="11">
                  <c:v>Wk 12</c:v>
                </c:pt>
                <c:pt idx="12">
                  <c:v>Wk 13</c:v>
                </c:pt>
                <c:pt idx="13">
                  <c:v>Wk 14</c:v>
                </c:pt>
                <c:pt idx="14">
                  <c:v>Wk 15</c:v>
                </c:pt>
                <c:pt idx="15">
                  <c:v>Wk 16</c:v>
                </c:pt>
                <c:pt idx="16">
                  <c:v>Wk 17</c:v>
                </c:pt>
                <c:pt idx="17">
                  <c:v>Wk 18</c:v>
                </c:pt>
                <c:pt idx="18">
                  <c:v>Wk 19</c:v>
                </c:pt>
                <c:pt idx="19">
                  <c:v>Wk 20</c:v>
                </c:pt>
                <c:pt idx="20">
                  <c:v>Wk 21</c:v>
                </c:pt>
                <c:pt idx="21">
                  <c:v>Wk 22</c:v>
                </c:pt>
                <c:pt idx="22">
                  <c:v>Wk 23</c:v>
                </c:pt>
                <c:pt idx="23">
                  <c:v>Wk 24</c:v>
                </c:pt>
                <c:pt idx="24">
                  <c:v>Wk 25</c:v>
                </c:pt>
                <c:pt idx="25">
                  <c:v>Wk 26</c:v>
                </c:pt>
              </c:strCache>
            </c:strRef>
          </c:cat>
          <c:val>
            <c:numRef>
              <c:f>Dashboard!$L$29:$L$54</c:f>
              <c:numCache>
                <c:formatCode>\$#,##0;[RED]"($"#,##0\);\-</c:formatCode>
                <c:ptCount val="26"/>
                <c:pt idx="0">
                  <c:v>780000</c:v>
                </c:pt>
                <c:pt idx="1">
                  <c:v>1162700</c:v>
                </c:pt>
                <c:pt idx="2">
                  <c:v>1496400</c:v>
                </c:pt>
                <c:pt idx="3">
                  <c:v>1883500</c:v>
                </c:pt>
                <c:pt idx="4">
                  <c:v>1812500</c:v>
                </c:pt>
                <c:pt idx="5">
                  <c:v>1819400</c:v>
                </c:pt>
                <c:pt idx="6">
                  <c:v>1788600</c:v>
                </c:pt>
                <c:pt idx="7">
                  <c:v>2176600</c:v>
                </c:pt>
                <c:pt idx="8">
                  <c:v>2177400</c:v>
                </c:pt>
                <c:pt idx="9">
                  <c:v>2420600</c:v>
                </c:pt>
                <c:pt idx="10">
                  <c:v>2233800</c:v>
                </c:pt>
                <c:pt idx="11">
                  <c:v>2172500</c:v>
                </c:pt>
                <c:pt idx="12">
                  <c:v>2174500</c:v>
                </c:pt>
                <c:pt idx="13">
                  <c:v>2337700</c:v>
                </c:pt>
                <c:pt idx="14">
                  <c:v>2151800</c:v>
                </c:pt>
                <c:pt idx="15">
                  <c:v>2124700</c:v>
                </c:pt>
                <c:pt idx="16">
                  <c:v>2072900</c:v>
                </c:pt>
                <c:pt idx="17">
                  <c:v>2257120</c:v>
                </c:pt>
                <c:pt idx="18">
                  <c:v>2058090</c:v>
                </c:pt>
                <c:pt idx="19">
                  <c:v>1970290</c:v>
                </c:pt>
                <c:pt idx="20">
                  <c:v>1825515</c:v>
                </c:pt>
                <c:pt idx="21">
                  <c:v>1968170</c:v>
                </c:pt>
                <c:pt idx="22">
                  <c:v>1765720</c:v>
                </c:pt>
                <c:pt idx="23">
                  <c:v>1697550</c:v>
                </c:pt>
                <c:pt idx="24">
                  <c:v>1541690</c:v>
                </c:pt>
                <c:pt idx="25">
                  <c:v>1713855</c:v>
                </c:pt>
              </c:numCache>
            </c:numRef>
          </c:val>
          <c:smooth val="1"/>
        </c:ser>
        <c:hiLowLines>
          <c:spPr>
            <a:ln w="0">
              <a:noFill/>
            </a:ln>
          </c:spPr>
        </c:hiLowLines>
        <c:marker val="0"/>
        <c:axId val="33476289"/>
        <c:axId val="39966411"/>
      </c:lineChart>
      <c:catAx>
        <c:axId val="33476289"/>
        <c:scaling>
          <c:orientation val="minMax"/>
        </c:scaling>
        <c:delete val="0"/>
        <c:axPos val="b"/>
        <c:numFmt formatCode="General"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39966411"/>
        <c:crosses val="autoZero"/>
        <c:auto val="1"/>
        <c:lblAlgn val="ctr"/>
        <c:lblOffset val="100"/>
        <c:noMultiLvlLbl val="0"/>
      </c:catAx>
      <c:valAx>
        <c:axId val="39966411"/>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Cash Balance</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33476289"/>
        <c:crosses val="autoZero"/>
        <c:crossBetween val="between"/>
      </c:valAx>
      <c:spPr>
        <a:noFill/>
        <a:ln w="0">
          <a:noFill/>
        </a:ln>
      </c:spPr>
    </c:plotArea>
    <c:legend>
      <c:legendPos val="b"/>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ineChart>
        <c:grouping val="standard"/>
        <c:varyColors val="0"/>
        <c:ser>
          <c:idx val="0"/>
          <c:order val="0"/>
          <c:tx>
            <c:strRef>
              <c:f>"Base Forecast"</c:f>
              <c:strCache>
                <c:ptCount val="1"/>
                <c:pt idx="0">
                  <c:v>Base Forecast</c:v>
                </c:pt>
              </c:strCache>
            </c:strRef>
          </c:tx>
          <c:spPr>
            <a:solidFill>
              <a:srgbClr val="1f3864"/>
            </a:solidFill>
            <a:ln w="18000">
              <a:solidFill>
                <a:srgbClr val="1f3864"/>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Dashboard!$I$29:$I$54</c:f>
              <c:strCache>
                <c:ptCount val="26"/>
                <c:pt idx="0">
                  <c:v>Wk 1</c:v>
                </c:pt>
                <c:pt idx="1">
                  <c:v>Wk 2</c:v>
                </c:pt>
                <c:pt idx="2">
                  <c:v>Wk 3</c:v>
                </c:pt>
                <c:pt idx="3">
                  <c:v>Wk 4</c:v>
                </c:pt>
                <c:pt idx="4">
                  <c:v>Wk 5</c:v>
                </c:pt>
                <c:pt idx="5">
                  <c:v>Wk 6</c:v>
                </c:pt>
                <c:pt idx="6">
                  <c:v>Wk 7</c:v>
                </c:pt>
                <c:pt idx="7">
                  <c:v>Wk 8</c:v>
                </c:pt>
                <c:pt idx="8">
                  <c:v>Wk 9</c:v>
                </c:pt>
                <c:pt idx="9">
                  <c:v>Wk 10</c:v>
                </c:pt>
                <c:pt idx="10">
                  <c:v>Wk 11</c:v>
                </c:pt>
                <c:pt idx="11">
                  <c:v>Wk 12</c:v>
                </c:pt>
                <c:pt idx="12">
                  <c:v>Wk 13</c:v>
                </c:pt>
                <c:pt idx="13">
                  <c:v>Wk 14</c:v>
                </c:pt>
                <c:pt idx="14">
                  <c:v>Wk 15</c:v>
                </c:pt>
                <c:pt idx="15">
                  <c:v>Wk 16</c:v>
                </c:pt>
                <c:pt idx="16">
                  <c:v>Wk 17</c:v>
                </c:pt>
                <c:pt idx="17">
                  <c:v>Wk 18</c:v>
                </c:pt>
                <c:pt idx="18">
                  <c:v>Wk 19</c:v>
                </c:pt>
                <c:pt idx="19">
                  <c:v>Wk 20</c:v>
                </c:pt>
                <c:pt idx="20">
                  <c:v>Wk 21</c:v>
                </c:pt>
                <c:pt idx="21">
                  <c:v>Wk 22</c:v>
                </c:pt>
                <c:pt idx="22">
                  <c:v>Wk 23</c:v>
                </c:pt>
                <c:pt idx="23">
                  <c:v>Wk 24</c:v>
                </c:pt>
                <c:pt idx="24">
                  <c:v>Wk 25</c:v>
                </c:pt>
                <c:pt idx="25">
                  <c:v>Wk 26</c:v>
                </c:pt>
              </c:strCache>
            </c:strRef>
          </c:cat>
          <c:val>
            <c:numRef>
              <c:f>Dashboard!$J$29:$J$54</c:f>
              <c:numCache>
                <c:formatCode>\$#,##0;[RED]"($"#,##0\);\-</c:formatCode>
                <c:ptCount val="26"/>
                <c:pt idx="0">
                  <c:v>780000</c:v>
                </c:pt>
                <c:pt idx="1">
                  <c:v>1162700</c:v>
                </c:pt>
                <c:pt idx="2">
                  <c:v>1496400</c:v>
                </c:pt>
                <c:pt idx="3">
                  <c:v>1883500</c:v>
                </c:pt>
                <c:pt idx="4">
                  <c:v>1812500</c:v>
                </c:pt>
                <c:pt idx="5">
                  <c:v>1819400</c:v>
                </c:pt>
                <c:pt idx="6">
                  <c:v>1788600</c:v>
                </c:pt>
                <c:pt idx="7">
                  <c:v>2176600</c:v>
                </c:pt>
                <c:pt idx="8">
                  <c:v>2177400</c:v>
                </c:pt>
                <c:pt idx="9">
                  <c:v>2420600</c:v>
                </c:pt>
                <c:pt idx="10">
                  <c:v>2233800</c:v>
                </c:pt>
                <c:pt idx="11">
                  <c:v>2172500</c:v>
                </c:pt>
                <c:pt idx="12">
                  <c:v>2174500</c:v>
                </c:pt>
                <c:pt idx="13">
                  <c:v>2337700</c:v>
                </c:pt>
                <c:pt idx="14">
                  <c:v>2151800</c:v>
                </c:pt>
                <c:pt idx="15">
                  <c:v>2124700</c:v>
                </c:pt>
                <c:pt idx="16">
                  <c:v>2072900</c:v>
                </c:pt>
                <c:pt idx="17">
                  <c:v>2313700</c:v>
                </c:pt>
                <c:pt idx="18">
                  <c:v>2171700</c:v>
                </c:pt>
                <c:pt idx="19">
                  <c:v>2098900</c:v>
                </c:pt>
                <c:pt idx="20">
                  <c:v>2032800</c:v>
                </c:pt>
                <c:pt idx="21">
                  <c:v>2234900</c:v>
                </c:pt>
                <c:pt idx="22">
                  <c:v>2091100</c:v>
                </c:pt>
                <c:pt idx="23">
                  <c:v>2035500</c:v>
                </c:pt>
                <c:pt idx="24">
                  <c:v>1958900</c:v>
                </c:pt>
                <c:pt idx="25">
                  <c:v>2193000</c:v>
                </c:pt>
              </c:numCache>
            </c:numRef>
          </c:val>
          <c:smooth val="1"/>
        </c:ser>
        <c:ser>
          <c:idx val="1"/>
          <c:order val="1"/>
          <c:tx>
            <c:strRef>
              <c:f>"Upside"</c:f>
              <c:strCache>
                <c:ptCount val="1"/>
                <c:pt idx="0">
                  <c:v>Upside</c:v>
                </c:pt>
              </c:strCache>
            </c:strRef>
          </c:tx>
          <c:spPr>
            <a:solidFill>
              <a:srgbClr val="375623"/>
            </a:solidFill>
            <a:ln w="11880">
              <a:solidFill>
                <a:srgbClr val="375623"/>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Dashboard!$I$29:$I$54</c:f>
              <c:strCache>
                <c:ptCount val="26"/>
                <c:pt idx="0">
                  <c:v>Wk 1</c:v>
                </c:pt>
                <c:pt idx="1">
                  <c:v>Wk 2</c:v>
                </c:pt>
                <c:pt idx="2">
                  <c:v>Wk 3</c:v>
                </c:pt>
                <c:pt idx="3">
                  <c:v>Wk 4</c:v>
                </c:pt>
                <c:pt idx="4">
                  <c:v>Wk 5</c:v>
                </c:pt>
                <c:pt idx="5">
                  <c:v>Wk 6</c:v>
                </c:pt>
                <c:pt idx="6">
                  <c:v>Wk 7</c:v>
                </c:pt>
                <c:pt idx="7">
                  <c:v>Wk 8</c:v>
                </c:pt>
                <c:pt idx="8">
                  <c:v>Wk 9</c:v>
                </c:pt>
                <c:pt idx="9">
                  <c:v>Wk 10</c:v>
                </c:pt>
                <c:pt idx="10">
                  <c:v>Wk 11</c:v>
                </c:pt>
                <c:pt idx="11">
                  <c:v>Wk 12</c:v>
                </c:pt>
                <c:pt idx="12">
                  <c:v>Wk 13</c:v>
                </c:pt>
                <c:pt idx="13">
                  <c:v>Wk 14</c:v>
                </c:pt>
                <c:pt idx="14">
                  <c:v>Wk 15</c:v>
                </c:pt>
                <c:pt idx="15">
                  <c:v>Wk 16</c:v>
                </c:pt>
                <c:pt idx="16">
                  <c:v>Wk 17</c:v>
                </c:pt>
                <c:pt idx="17">
                  <c:v>Wk 18</c:v>
                </c:pt>
                <c:pt idx="18">
                  <c:v>Wk 19</c:v>
                </c:pt>
                <c:pt idx="19">
                  <c:v>Wk 20</c:v>
                </c:pt>
                <c:pt idx="20">
                  <c:v>Wk 21</c:v>
                </c:pt>
                <c:pt idx="21">
                  <c:v>Wk 22</c:v>
                </c:pt>
                <c:pt idx="22">
                  <c:v>Wk 23</c:v>
                </c:pt>
                <c:pt idx="23">
                  <c:v>Wk 24</c:v>
                </c:pt>
                <c:pt idx="24">
                  <c:v>Wk 25</c:v>
                </c:pt>
                <c:pt idx="25">
                  <c:v>Wk 26</c:v>
                </c:pt>
              </c:strCache>
            </c:strRef>
          </c:cat>
          <c:val>
            <c:numRef>
              <c:f>Dashboard!$K$29:$K$54</c:f>
              <c:numCache>
                <c:formatCode>\$#,##0;[RED]"($"#,##0\);\-</c:formatCode>
                <c:ptCount val="26"/>
                <c:pt idx="0">
                  <c:v>780000</c:v>
                </c:pt>
                <c:pt idx="1">
                  <c:v>1162700</c:v>
                </c:pt>
                <c:pt idx="2">
                  <c:v>1496400</c:v>
                </c:pt>
                <c:pt idx="3">
                  <c:v>1883500</c:v>
                </c:pt>
                <c:pt idx="4">
                  <c:v>1812500</c:v>
                </c:pt>
                <c:pt idx="5">
                  <c:v>1819400</c:v>
                </c:pt>
                <c:pt idx="6">
                  <c:v>1788600</c:v>
                </c:pt>
                <c:pt idx="7">
                  <c:v>2176600</c:v>
                </c:pt>
                <c:pt idx="8">
                  <c:v>2177400</c:v>
                </c:pt>
                <c:pt idx="9">
                  <c:v>2420600</c:v>
                </c:pt>
                <c:pt idx="10">
                  <c:v>2233800</c:v>
                </c:pt>
                <c:pt idx="11">
                  <c:v>2172500</c:v>
                </c:pt>
                <c:pt idx="12">
                  <c:v>2174500</c:v>
                </c:pt>
                <c:pt idx="13">
                  <c:v>2337700</c:v>
                </c:pt>
                <c:pt idx="14">
                  <c:v>2151800</c:v>
                </c:pt>
                <c:pt idx="15">
                  <c:v>2124700</c:v>
                </c:pt>
                <c:pt idx="16">
                  <c:v>2072900</c:v>
                </c:pt>
                <c:pt idx="17">
                  <c:v>2366870</c:v>
                </c:pt>
                <c:pt idx="18">
                  <c:v>2268845</c:v>
                </c:pt>
                <c:pt idx="19">
                  <c:v>2206725</c:v>
                </c:pt>
                <c:pt idx="20">
                  <c:v>2204535</c:v>
                </c:pt>
                <c:pt idx="21">
                  <c:v>2461225</c:v>
                </c:pt>
                <c:pt idx="22">
                  <c:v>2362705</c:v>
                </c:pt>
                <c:pt idx="23">
                  <c:v>2316190</c:v>
                </c:pt>
                <c:pt idx="24">
                  <c:v>2303725</c:v>
                </c:pt>
                <c:pt idx="25">
                  <c:v>2595290</c:v>
                </c:pt>
              </c:numCache>
            </c:numRef>
          </c:val>
          <c:smooth val="1"/>
        </c:ser>
        <c:ser>
          <c:idx val="2"/>
          <c:order val="2"/>
          <c:tx>
            <c:strRef>
              <c:f>"Downside"</c:f>
              <c:strCache>
                <c:ptCount val="1"/>
                <c:pt idx="0">
                  <c:v>Downside</c:v>
                </c:pt>
              </c:strCache>
            </c:strRef>
          </c:tx>
          <c:spPr>
            <a:solidFill>
              <a:srgbClr val="9e1414"/>
            </a:solidFill>
            <a:ln w="11880">
              <a:solidFill>
                <a:srgbClr val="9e1414"/>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Dashboard!$I$29:$I$54</c:f>
              <c:strCache>
                <c:ptCount val="26"/>
                <c:pt idx="0">
                  <c:v>Wk 1</c:v>
                </c:pt>
                <c:pt idx="1">
                  <c:v>Wk 2</c:v>
                </c:pt>
                <c:pt idx="2">
                  <c:v>Wk 3</c:v>
                </c:pt>
                <c:pt idx="3">
                  <c:v>Wk 4</c:v>
                </c:pt>
                <c:pt idx="4">
                  <c:v>Wk 5</c:v>
                </c:pt>
                <c:pt idx="5">
                  <c:v>Wk 6</c:v>
                </c:pt>
                <c:pt idx="6">
                  <c:v>Wk 7</c:v>
                </c:pt>
                <c:pt idx="7">
                  <c:v>Wk 8</c:v>
                </c:pt>
                <c:pt idx="8">
                  <c:v>Wk 9</c:v>
                </c:pt>
                <c:pt idx="9">
                  <c:v>Wk 10</c:v>
                </c:pt>
                <c:pt idx="10">
                  <c:v>Wk 11</c:v>
                </c:pt>
                <c:pt idx="11">
                  <c:v>Wk 12</c:v>
                </c:pt>
                <c:pt idx="12">
                  <c:v>Wk 13</c:v>
                </c:pt>
                <c:pt idx="13">
                  <c:v>Wk 14</c:v>
                </c:pt>
                <c:pt idx="14">
                  <c:v>Wk 15</c:v>
                </c:pt>
                <c:pt idx="15">
                  <c:v>Wk 16</c:v>
                </c:pt>
                <c:pt idx="16">
                  <c:v>Wk 17</c:v>
                </c:pt>
                <c:pt idx="17">
                  <c:v>Wk 18</c:v>
                </c:pt>
                <c:pt idx="18">
                  <c:v>Wk 19</c:v>
                </c:pt>
                <c:pt idx="19">
                  <c:v>Wk 20</c:v>
                </c:pt>
                <c:pt idx="20">
                  <c:v>Wk 21</c:v>
                </c:pt>
                <c:pt idx="21">
                  <c:v>Wk 22</c:v>
                </c:pt>
                <c:pt idx="22">
                  <c:v>Wk 23</c:v>
                </c:pt>
                <c:pt idx="23">
                  <c:v>Wk 24</c:v>
                </c:pt>
                <c:pt idx="24">
                  <c:v>Wk 25</c:v>
                </c:pt>
                <c:pt idx="25">
                  <c:v>Wk 26</c:v>
                </c:pt>
              </c:strCache>
            </c:strRef>
          </c:cat>
          <c:val>
            <c:numRef>
              <c:f>Dashboard!$L$29:$L$54</c:f>
              <c:numCache>
                <c:formatCode>\$#,##0;[RED]"($"#,##0\);\-</c:formatCode>
                <c:ptCount val="26"/>
                <c:pt idx="0">
                  <c:v>780000</c:v>
                </c:pt>
                <c:pt idx="1">
                  <c:v>1162700</c:v>
                </c:pt>
                <c:pt idx="2">
                  <c:v>1496400</c:v>
                </c:pt>
                <c:pt idx="3">
                  <c:v>1883500</c:v>
                </c:pt>
                <c:pt idx="4">
                  <c:v>1812500</c:v>
                </c:pt>
                <c:pt idx="5">
                  <c:v>1819400</c:v>
                </c:pt>
                <c:pt idx="6">
                  <c:v>1788600</c:v>
                </c:pt>
                <c:pt idx="7">
                  <c:v>2176600</c:v>
                </c:pt>
                <c:pt idx="8">
                  <c:v>2177400</c:v>
                </c:pt>
                <c:pt idx="9">
                  <c:v>2420600</c:v>
                </c:pt>
                <c:pt idx="10">
                  <c:v>2233800</c:v>
                </c:pt>
                <c:pt idx="11">
                  <c:v>2172500</c:v>
                </c:pt>
                <c:pt idx="12">
                  <c:v>2174500</c:v>
                </c:pt>
                <c:pt idx="13">
                  <c:v>2337700</c:v>
                </c:pt>
                <c:pt idx="14">
                  <c:v>2151800</c:v>
                </c:pt>
                <c:pt idx="15">
                  <c:v>2124700</c:v>
                </c:pt>
                <c:pt idx="16">
                  <c:v>2072900</c:v>
                </c:pt>
                <c:pt idx="17">
                  <c:v>2257120</c:v>
                </c:pt>
                <c:pt idx="18">
                  <c:v>2058090</c:v>
                </c:pt>
                <c:pt idx="19">
                  <c:v>1970290</c:v>
                </c:pt>
                <c:pt idx="20">
                  <c:v>1825515</c:v>
                </c:pt>
                <c:pt idx="21">
                  <c:v>1968170</c:v>
                </c:pt>
                <c:pt idx="22">
                  <c:v>1765720</c:v>
                </c:pt>
                <c:pt idx="23">
                  <c:v>1697550</c:v>
                </c:pt>
                <c:pt idx="24">
                  <c:v>1541690</c:v>
                </c:pt>
                <c:pt idx="25">
                  <c:v>1713855</c:v>
                </c:pt>
              </c:numCache>
            </c:numRef>
          </c:val>
          <c:smooth val="1"/>
        </c:ser>
        <c:hiLowLines>
          <c:spPr>
            <a:ln w="0">
              <a:noFill/>
            </a:ln>
          </c:spPr>
        </c:hiLowLines>
        <c:marker val="0"/>
        <c:axId val="72376852"/>
        <c:axId val="67980233"/>
      </c:lineChart>
      <c:catAx>
        <c:axId val="72376852"/>
        <c:scaling>
          <c:orientation val="minMax"/>
        </c:scaling>
        <c:delete val="0"/>
        <c:axPos val="b"/>
        <c:numFmt formatCode="General"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67980233"/>
        <c:crosses val="autoZero"/>
        <c:auto val="1"/>
        <c:lblAlgn val="ctr"/>
        <c:lblOffset val="100"/>
        <c:noMultiLvlLbl val="0"/>
      </c:catAx>
      <c:valAx>
        <c:axId val="67980233"/>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Cash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72376852"/>
        <c:crosses val="autoZero"/>
        <c:crossBetween val="between"/>
      </c:valAx>
      <c:spPr>
        <a:noFill/>
        <a:ln w="0">
          <a:noFill/>
        </a:ln>
      </c:spPr>
    </c:plotArea>
    <c:legend>
      <c:legendPos val="b"/>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ineChart>
        <c:grouping val="standard"/>
        <c:varyColors val="0"/>
        <c:ser>
          <c:idx val="0"/>
          <c:order val="0"/>
          <c:tx>
            <c:strRef>
              <c:f>"Base Forecast"</c:f>
              <c:strCache>
                <c:ptCount val="1"/>
                <c:pt idx="0">
                  <c:v>Base Forecast</c:v>
                </c:pt>
              </c:strCache>
            </c:strRef>
          </c:tx>
          <c:spPr>
            <a:solidFill>
              <a:srgbClr val="1f3864"/>
            </a:solidFill>
            <a:ln w="18000">
              <a:solidFill>
                <a:srgbClr val="1f3864"/>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Dashboard!$I$29:$I$54</c:f>
              <c:strCache>
                <c:ptCount val="26"/>
                <c:pt idx="0">
                  <c:v>Wk 1</c:v>
                </c:pt>
                <c:pt idx="1">
                  <c:v>Wk 2</c:v>
                </c:pt>
                <c:pt idx="2">
                  <c:v>Wk 3</c:v>
                </c:pt>
                <c:pt idx="3">
                  <c:v>Wk 4</c:v>
                </c:pt>
                <c:pt idx="4">
                  <c:v>Wk 5</c:v>
                </c:pt>
                <c:pt idx="5">
                  <c:v>Wk 6</c:v>
                </c:pt>
                <c:pt idx="6">
                  <c:v>Wk 7</c:v>
                </c:pt>
                <c:pt idx="7">
                  <c:v>Wk 8</c:v>
                </c:pt>
                <c:pt idx="8">
                  <c:v>Wk 9</c:v>
                </c:pt>
                <c:pt idx="9">
                  <c:v>Wk 10</c:v>
                </c:pt>
                <c:pt idx="10">
                  <c:v>Wk 11</c:v>
                </c:pt>
                <c:pt idx="11">
                  <c:v>Wk 12</c:v>
                </c:pt>
                <c:pt idx="12">
                  <c:v>Wk 13</c:v>
                </c:pt>
                <c:pt idx="13">
                  <c:v>Wk 14</c:v>
                </c:pt>
                <c:pt idx="14">
                  <c:v>Wk 15</c:v>
                </c:pt>
                <c:pt idx="15">
                  <c:v>Wk 16</c:v>
                </c:pt>
                <c:pt idx="16">
                  <c:v>Wk 17</c:v>
                </c:pt>
                <c:pt idx="17">
                  <c:v>Wk 18</c:v>
                </c:pt>
                <c:pt idx="18">
                  <c:v>Wk 19</c:v>
                </c:pt>
                <c:pt idx="19">
                  <c:v>Wk 20</c:v>
                </c:pt>
                <c:pt idx="20">
                  <c:v>Wk 21</c:v>
                </c:pt>
                <c:pt idx="21">
                  <c:v>Wk 22</c:v>
                </c:pt>
                <c:pt idx="22">
                  <c:v>Wk 23</c:v>
                </c:pt>
                <c:pt idx="23">
                  <c:v>Wk 24</c:v>
                </c:pt>
                <c:pt idx="24">
                  <c:v>Wk 25</c:v>
                </c:pt>
                <c:pt idx="25">
                  <c:v>Wk 26</c:v>
                </c:pt>
              </c:strCache>
            </c:strRef>
          </c:cat>
          <c:val>
            <c:numRef>
              <c:f>Dashboard!$J$29:$J$54</c:f>
              <c:numCache>
                <c:formatCode>\$#,##0;[RED]"($"#,##0\);\-</c:formatCode>
                <c:ptCount val="26"/>
                <c:pt idx="0">
                  <c:v>780000</c:v>
                </c:pt>
                <c:pt idx="1">
                  <c:v>1162700</c:v>
                </c:pt>
                <c:pt idx="2">
                  <c:v>1496400</c:v>
                </c:pt>
                <c:pt idx="3">
                  <c:v>1883500</c:v>
                </c:pt>
                <c:pt idx="4">
                  <c:v>1812500</c:v>
                </c:pt>
                <c:pt idx="5">
                  <c:v>1819400</c:v>
                </c:pt>
                <c:pt idx="6">
                  <c:v>1788600</c:v>
                </c:pt>
                <c:pt idx="7">
                  <c:v>2176600</c:v>
                </c:pt>
                <c:pt idx="8">
                  <c:v>2177400</c:v>
                </c:pt>
                <c:pt idx="9">
                  <c:v>2420600</c:v>
                </c:pt>
                <c:pt idx="10">
                  <c:v>2233800</c:v>
                </c:pt>
                <c:pt idx="11">
                  <c:v>2172500</c:v>
                </c:pt>
                <c:pt idx="12">
                  <c:v>2174500</c:v>
                </c:pt>
                <c:pt idx="13">
                  <c:v>2337700</c:v>
                </c:pt>
                <c:pt idx="14">
                  <c:v>2151800</c:v>
                </c:pt>
                <c:pt idx="15">
                  <c:v>2124700</c:v>
                </c:pt>
                <c:pt idx="16">
                  <c:v>2072900</c:v>
                </c:pt>
                <c:pt idx="17">
                  <c:v>2313700</c:v>
                </c:pt>
                <c:pt idx="18">
                  <c:v>2171700</c:v>
                </c:pt>
                <c:pt idx="19">
                  <c:v>2098900</c:v>
                </c:pt>
                <c:pt idx="20">
                  <c:v>2032800</c:v>
                </c:pt>
                <c:pt idx="21">
                  <c:v>2234900</c:v>
                </c:pt>
                <c:pt idx="22">
                  <c:v>2091100</c:v>
                </c:pt>
                <c:pt idx="23">
                  <c:v>2035500</c:v>
                </c:pt>
                <c:pt idx="24">
                  <c:v>1958900</c:v>
                </c:pt>
                <c:pt idx="25">
                  <c:v>2193000</c:v>
                </c:pt>
              </c:numCache>
            </c:numRef>
          </c:val>
          <c:smooth val="1"/>
        </c:ser>
        <c:ser>
          <c:idx val="1"/>
          <c:order val="1"/>
          <c:tx>
            <c:strRef>
              <c:f>"Upside"</c:f>
              <c:strCache>
                <c:ptCount val="1"/>
                <c:pt idx="0">
                  <c:v>Upside</c:v>
                </c:pt>
              </c:strCache>
            </c:strRef>
          </c:tx>
          <c:spPr>
            <a:solidFill>
              <a:srgbClr val="375623"/>
            </a:solidFill>
            <a:ln w="11880">
              <a:solidFill>
                <a:srgbClr val="375623"/>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Dashboard!$I$29:$I$54</c:f>
              <c:strCache>
                <c:ptCount val="26"/>
                <c:pt idx="0">
                  <c:v>Wk 1</c:v>
                </c:pt>
                <c:pt idx="1">
                  <c:v>Wk 2</c:v>
                </c:pt>
                <c:pt idx="2">
                  <c:v>Wk 3</c:v>
                </c:pt>
                <c:pt idx="3">
                  <c:v>Wk 4</c:v>
                </c:pt>
                <c:pt idx="4">
                  <c:v>Wk 5</c:v>
                </c:pt>
                <c:pt idx="5">
                  <c:v>Wk 6</c:v>
                </c:pt>
                <c:pt idx="6">
                  <c:v>Wk 7</c:v>
                </c:pt>
                <c:pt idx="7">
                  <c:v>Wk 8</c:v>
                </c:pt>
                <c:pt idx="8">
                  <c:v>Wk 9</c:v>
                </c:pt>
                <c:pt idx="9">
                  <c:v>Wk 10</c:v>
                </c:pt>
                <c:pt idx="10">
                  <c:v>Wk 11</c:v>
                </c:pt>
                <c:pt idx="11">
                  <c:v>Wk 12</c:v>
                </c:pt>
                <c:pt idx="12">
                  <c:v>Wk 13</c:v>
                </c:pt>
                <c:pt idx="13">
                  <c:v>Wk 14</c:v>
                </c:pt>
                <c:pt idx="14">
                  <c:v>Wk 15</c:v>
                </c:pt>
                <c:pt idx="15">
                  <c:v>Wk 16</c:v>
                </c:pt>
                <c:pt idx="16">
                  <c:v>Wk 17</c:v>
                </c:pt>
                <c:pt idx="17">
                  <c:v>Wk 18</c:v>
                </c:pt>
                <c:pt idx="18">
                  <c:v>Wk 19</c:v>
                </c:pt>
                <c:pt idx="19">
                  <c:v>Wk 20</c:v>
                </c:pt>
                <c:pt idx="20">
                  <c:v>Wk 21</c:v>
                </c:pt>
                <c:pt idx="21">
                  <c:v>Wk 22</c:v>
                </c:pt>
                <c:pt idx="22">
                  <c:v>Wk 23</c:v>
                </c:pt>
                <c:pt idx="23">
                  <c:v>Wk 24</c:v>
                </c:pt>
                <c:pt idx="24">
                  <c:v>Wk 25</c:v>
                </c:pt>
                <c:pt idx="25">
                  <c:v>Wk 26</c:v>
                </c:pt>
              </c:strCache>
            </c:strRef>
          </c:cat>
          <c:val>
            <c:numRef>
              <c:f>Dashboard!$K$29:$K$54</c:f>
              <c:numCache>
                <c:formatCode>\$#,##0;[RED]"($"#,##0\);\-</c:formatCode>
                <c:ptCount val="26"/>
                <c:pt idx="0">
                  <c:v>780000</c:v>
                </c:pt>
                <c:pt idx="1">
                  <c:v>1162700</c:v>
                </c:pt>
                <c:pt idx="2">
                  <c:v>1496400</c:v>
                </c:pt>
                <c:pt idx="3">
                  <c:v>1883500</c:v>
                </c:pt>
                <c:pt idx="4">
                  <c:v>1812500</c:v>
                </c:pt>
                <c:pt idx="5">
                  <c:v>1819400</c:v>
                </c:pt>
                <c:pt idx="6">
                  <c:v>1788600</c:v>
                </c:pt>
                <c:pt idx="7">
                  <c:v>2176600</c:v>
                </c:pt>
                <c:pt idx="8">
                  <c:v>2177400</c:v>
                </c:pt>
                <c:pt idx="9">
                  <c:v>2420600</c:v>
                </c:pt>
                <c:pt idx="10">
                  <c:v>2233800</c:v>
                </c:pt>
                <c:pt idx="11">
                  <c:v>2172500</c:v>
                </c:pt>
                <c:pt idx="12">
                  <c:v>2174500</c:v>
                </c:pt>
                <c:pt idx="13">
                  <c:v>2337700</c:v>
                </c:pt>
                <c:pt idx="14">
                  <c:v>2151800</c:v>
                </c:pt>
                <c:pt idx="15">
                  <c:v>2124700</c:v>
                </c:pt>
                <c:pt idx="16">
                  <c:v>2072900</c:v>
                </c:pt>
                <c:pt idx="17">
                  <c:v>2366870</c:v>
                </c:pt>
                <c:pt idx="18">
                  <c:v>2268845</c:v>
                </c:pt>
                <c:pt idx="19">
                  <c:v>2206725</c:v>
                </c:pt>
                <c:pt idx="20">
                  <c:v>2204535</c:v>
                </c:pt>
                <c:pt idx="21">
                  <c:v>2461225</c:v>
                </c:pt>
                <c:pt idx="22">
                  <c:v>2362705</c:v>
                </c:pt>
                <c:pt idx="23">
                  <c:v>2316190</c:v>
                </c:pt>
                <c:pt idx="24">
                  <c:v>2303725</c:v>
                </c:pt>
                <c:pt idx="25">
                  <c:v>2595290</c:v>
                </c:pt>
              </c:numCache>
            </c:numRef>
          </c:val>
          <c:smooth val="1"/>
        </c:ser>
        <c:ser>
          <c:idx val="2"/>
          <c:order val="2"/>
          <c:tx>
            <c:strRef>
              <c:f>"Downside"</c:f>
              <c:strCache>
                <c:ptCount val="1"/>
                <c:pt idx="0">
                  <c:v>Downside</c:v>
                </c:pt>
              </c:strCache>
            </c:strRef>
          </c:tx>
          <c:spPr>
            <a:solidFill>
              <a:srgbClr val="9e1414"/>
            </a:solidFill>
            <a:ln w="11880">
              <a:solidFill>
                <a:srgbClr val="9e1414"/>
              </a:solidFill>
              <a:round/>
            </a:ln>
          </c:spPr>
          <c:marker>
            <c:symbol val="none"/>
          </c:marker>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Dashboard!$I$29:$I$54</c:f>
              <c:strCache>
                <c:ptCount val="26"/>
                <c:pt idx="0">
                  <c:v>Wk 1</c:v>
                </c:pt>
                <c:pt idx="1">
                  <c:v>Wk 2</c:v>
                </c:pt>
                <c:pt idx="2">
                  <c:v>Wk 3</c:v>
                </c:pt>
                <c:pt idx="3">
                  <c:v>Wk 4</c:v>
                </c:pt>
                <c:pt idx="4">
                  <c:v>Wk 5</c:v>
                </c:pt>
                <c:pt idx="5">
                  <c:v>Wk 6</c:v>
                </c:pt>
                <c:pt idx="6">
                  <c:v>Wk 7</c:v>
                </c:pt>
                <c:pt idx="7">
                  <c:v>Wk 8</c:v>
                </c:pt>
                <c:pt idx="8">
                  <c:v>Wk 9</c:v>
                </c:pt>
                <c:pt idx="9">
                  <c:v>Wk 10</c:v>
                </c:pt>
                <c:pt idx="10">
                  <c:v>Wk 11</c:v>
                </c:pt>
                <c:pt idx="11">
                  <c:v>Wk 12</c:v>
                </c:pt>
                <c:pt idx="12">
                  <c:v>Wk 13</c:v>
                </c:pt>
                <c:pt idx="13">
                  <c:v>Wk 14</c:v>
                </c:pt>
                <c:pt idx="14">
                  <c:v>Wk 15</c:v>
                </c:pt>
                <c:pt idx="15">
                  <c:v>Wk 16</c:v>
                </c:pt>
                <c:pt idx="16">
                  <c:v>Wk 17</c:v>
                </c:pt>
                <c:pt idx="17">
                  <c:v>Wk 18</c:v>
                </c:pt>
                <c:pt idx="18">
                  <c:v>Wk 19</c:v>
                </c:pt>
                <c:pt idx="19">
                  <c:v>Wk 20</c:v>
                </c:pt>
                <c:pt idx="20">
                  <c:v>Wk 21</c:v>
                </c:pt>
                <c:pt idx="21">
                  <c:v>Wk 22</c:v>
                </c:pt>
                <c:pt idx="22">
                  <c:v>Wk 23</c:v>
                </c:pt>
                <c:pt idx="23">
                  <c:v>Wk 24</c:v>
                </c:pt>
                <c:pt idx="24">
                  <c:v>Wk 25</c:v>
                </c:pt>
                <c:pt idx="25">
                  <c:v>Wk 26</c:v>
                </c:pt>
              </c:strCache>
            </c:strRef>
          </c:cat>
          <c:val>
            <c:numRef>
              <c:f>Dashboard!$L$29:$L$54</c:f>
              <c:numCache>
                <c:formatCode>\$#,##0;[RED]"($"#,##0\);\-</c:formatCode>
                <c:ptCount val="26"/>
                <c:pt idx="0">
                  <c:v>780000</c:v>
                </c:pt>
                <c:pt idx="1">
                  <c:v>1162700</c:v>
                </c:pt>
                <c:pt idx="2">
                  <c:v>1496400</c:v>
                </c:pt>
                <c:pt idx="3">
                  <c:v>1883500</c:v>
                </c:pt>
                <c:pt idx="4">
                  <c:v>1812500</c:v>
                </c:pt>
                <c:pt idx="5">
                  <c:v>1819400</c:v>
                </c:pt>
                <c:pt idx="6">
                  <c:v>1788600</c:v>
                </c:pt>
                <c:pt idx="7">
                  <c:v>2176600</c:v>
                </c:pt>
                <c:pt idx="8">
                  <c:v>2177400</c:v>
                </c:pt>
                <c:pt idx="9">
                  <c:v>2420600</c:v>
                </c:pt>
                <c:pt idx="10">
                  <c:v>2233800</c:v>
                </c:pt>
                <c:pt idx="11">
                  <c:v>2172500</c:v>
                </c:pt>
                <c:pt idx="12">
                  <c:v>2174500</c:v>
                </c:pt>
                <c:pt idx="13">
                  <c:v>2337700</c:v>
                </c:pt>
                <c:pt idx="14">
                  <c:v>2151800</c:v>
                </c:pt>
                <c:pt idx="15">
                  <c:v>2124700</c:v>
                </c:pt>
                <c:pt idx="16">
                  <c:v>2072900</c:v>
                </c:pt>
                <c:pt idx="17">
                  <c:v>2257120</c:v>
                </c:pt>
                <c:pt idx="18">
                  <c:v>2058090</c:v>
                </c:pt>
                <c:pt idx="19">
                  <c:v>1970290</c:v>
                </c:pt>
                <c:pt idx="20">
                  <c:v>1825515</c:v>
                </c:pt>
                <c:pt idx="21">
                  <c:v>1968170</c:v>
                </c:pt>
                <c:pt idx="22">
                  <c:v>1765720</c:v>
                </c:pt>
                <c:pt idx="23">
                  <c:v>1697550</c:v>
                </c:pt>
                <c:pt idx="24">
                  <c:v>1541690</c:v>
                </c:pt>
                <c:pt idx="25">
                  <c:v>1713855</c:v>
                </c:pt>
              </c:numCache>
            </c:numRef>
          </c:val>
          <c:smooth val="1"/>
        </c:ser>
        <c:hiLowLines>
          <c:spPr>
            <a:ln w="0">
              <a:noFill/>
            </a:ln>
          </c:spPr>
        </c:hiLowLines>
        <c:marker val="0"/>
        <c:axId val="23835416"/>
        <c:axId val="70073841"/>
      </c:lineChart>
      <c:catAx>
        <c:axId val="23835416"/>
        <c:scaling>
          <c:orientation val="minMax"/>
        </c:scaling>
        <c:delete val="0"/>
        <c:axPos val="b"/>
        <c:numFmt formatCode="General"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70073841"/>
        <c:crosses val="autoZero"/>
        <c:auto val="1"/>
        <c:lblAlgn val="ctr"/>
        <c:lblOffset val="100"/>
        <c:noMultiLvlLbl val="0"/>
      </c:catAx>
      <c:valAx>
        <c:axId val="70073841"/>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Cash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23835416"/>
        <c:crosses val="autoZero"/>
        <c:crossBetween val="between"/>
      </c:valAx>
      <c:spPr>
        <a:noFill/>
        <a:ln w="0">
          <a:noFill/>
        </a:ln>
      </c:spPr>
    </c:plotArea>
    <c:legend>
      <c:legendPos val="b"/>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32</xdr:row>
      <xdr:rowOff>0</xdr:rowOff>
    </xdr:from>
    <xdr:to>
      <xdr:col>8</xdr:col>
      <xdr:colOff>209160</xdr:colOff>
      <xdr:row>58</xdr:row>
      <xdr:rowOff>84240</xdr:rowOff>
    </xdr:to>
    <xdr:graphicFrame>
      <xdr:nvGraphicFramePr>
        <xdr:cNvPr id="0" name="Chart 1"/>
        <xdr:cNvGraphicFramePr/>
      </xdr:nvGraphicFramePr>
      <xdr:xfrm>
        <a:off x="0" y="6372360"/>
        <a:ext cx="9865440" cy="44179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26</xdr:row>
      <xdr:rowOff>0</xdr:rowOff>
    </xdr:from>
    <xdr:to>
      <xdr:col>7</xdr:col>
      <xdr:colOff>54000</xdr:colOff>
      <xdr:row>54</xdr:row>
      <xdr:rowOff>124920</xdr:rowOff>
    </xdr:to>
    <xdr:graphicFrame>
      <xdr:nvGraphicFramePr>
        <xdr:cNvPr id="1" name="Chart 2"/>
        <xdr:cNvGraphicFramePr/>
      </xdr:nvGraphicFramePr>
      <xdr:xfrm>
        <a:off x="141120" y="5381640"/>
        <a:ext cx="9357840" cy="46778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55</xdr:row>
      <xdr:rowOff>0</xdr:rowOff>
    </xdr:from>
    <xdr:to>
      <xdr:col>7</xdr:col>
      <xdr:colOff>54360</xdr:colOff>
      <xdr:row>79</xdr:row>
      <xdr:rowOff>106200</xdr:rowOff>
    </xdr:to>
    <xdr:graphicFrame>
      <xdr:nvGraphicFramePr>
        <xdr:cNvPr id="2" name="Chart 3"/>
        <xdr:cNvGraphicFramePr/>
      </xdr:nvGraphicFramePr>
      <xdr:xfrm>
        <a:off x="141120" y="10134720"/>
        <a:ext cx="9358200" cy="467820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0</xdr:colOff>
      <xdr:row>55</xdr:row>
      <xdr:rowOff>0</xdr:rowOff>
    </xdr:from>
    <xdr:to>
      <xdr:col>7</xdr:col>
      <xdr:colOff>54720</xdr:colOff>
      <xdr:row>79</xdr:row>
      <xdr:rowOff>106560</xdr:rowOff>
    </xdr:to>
    <xdr:graphicFrame>
      <xdr:nvGraphicFramePr>
        <xdr:cNvPr id="3" name="Chart 4"/>
        <xdr:cNvGraphicFramePr/>
      </xdr:nvGraphicFramePr>
      <xdr:xfrm>
        <a:off x="141120" y="10134720"/>
        <a:ext cx="9358560" cy="46785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7.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3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4"/>
    <col collapsed="false" customWidth="true" hidden="false" outlineLevel="0" max="2" min="2" style="1" width="26"/>
    <col collapsed="false" customWidth="true" hidden="false" outlineLevel="0" max="3" min="3" style="1" width="72"/>
    <col collapsed="false" customWidth="true" hidden="false" outlineLevel="0" max="4" min="4" style="1" width="14"/>
  </cols>
  <sheetData>
    <row r="2" customFormat="false" ht="30" hidden="false" customHeight="true" outlineLevel="0" collapsed="false">
      <c r="B2" s="2" t="s">
        <v>0</v>
      </c>
      <c r="C2" s="2"/>
      <c r="D2" s="2"/>
    </row>
    <row r="3" customFormat="false" ht="15.75" hidden="false" customHeight="true" outlineLevel="0" collapsed="false">
      <c r="B3" s="3" t="s">
        <v>1</v>
      </c>
      <c r="C3" s="3"/>
      <c r="D3" s="3"/>
    </row>
    <row r="5" customFormat="false" ht="19.5" hidden="false" customHeight="true" outlineLevel="0" collapsed="false">
      <c r="B5" s="4" t="s">
        <v>2</v>
      </c>
      <c r="C5" s="4"/>
      <c r="D5" s="4"/>
    </row>
    <row r="6" customFormat="false" ht="21.75" hidden="false" customHeight="true" outlineLevel="0" collapsed="false">
      <c r="B6" s="5" t="s">
        <v>3</v>
      </c>
      <c r="C6" s="5"/>
      <c r="D6" s="5"/>
    </row>
    <row r="8" customFormat="false" ht="19.5" hidden="false" customHeight="true" outlineLevel="0" collapsed="false">
      <c r="B8" s="4" t="s">
        <v>4</v>
      </c>
      <c r="C8" s="4"/>
      <c r="D8" s="4"/>
    </row>
    <row r="9" customFormat="false" ht="30" hidden="false" customHeight="true" outlineLevel="0" collapsed="false">
      <c r="B9" s="6" t="s">
        <v>5</v>
      </c>
      <c r="C9" s="7" t="s">
        <v>6</v>
      </c>
    </row>
    <row r="10" customFormat="false" ht="30" hidden="false" customHeight="true" outlineLevel="0" collapsed="false">
      <c r="B10" s="6" t="s">
        <v>7</v>
      </c>
      <c r="C10" s="7" t="s">
        <v>8</v>
      </c>
    </row>
    <row r="11" customFormat="false" ht="30" hidden="false" customHeight="true" outlineLevel="0" collapsed="false">
      <c r="B11" s="6" t="s">
        <v>9</v>
      </c>
      <c r="C11" s="7" t="s">
        <v>10</v>
      </c>
    </row>
    <row r="12" customFormat="false" ht="30" hidden="false" customHeight="true" outlineLevel="0" collapsed="false">
      <c r="B12" s="6" t="s">
        <v>11</v>
      </c>
      <c r="C12" s="7" t="s">
        <v>12</v>
      </c>
    </row>
    <row r="13" customFormat="false" ht="30" hidden="false" customHeight="true" outlineLevel="0" collapsed="false">
      <c r="B13" s="6" t="s">
        <v>13</v>
      </c>
      <c r="C13" s="7" t="s">
        <v>14</v>
      </c>
    </row>
    <row r="14" customFormat="false" ht="30" hidden="false" customHeight="true" outlineLevel="0" collapsed="false">
      <c r="B14" s="6" t="s">
        <v>15</v>
      </c>
      <c r="C14" s="7" t="s">
        <v>16</v>
      </c>
    </row>
    <row r="15" customFormat="false" ht="30" hidden="false" customHeight="true" outlineLevel="0" collapsed="false">
      <c r="B15" s="6" t="s">
        <v>17</v>
      </c>
      <c r="C15" s="7" t="s">
        <v>18</v>
      </c>
    </row>
    <row r="17" customFormat="false" ht="19.5" hidden="false" customHeight="true" outlineLevel="0" collapsed="false">
      <c r="B17" s="4" t="s">
        <v>19</v>
      </c>
      <c r="C17" s="4"/>
      <c r="D17" s="4"/>
    </row>
    <row r="18" customFormat="false" ht="31.5" hidden="false" customHeight="true" outlineLevel="0" collapsed="false">
      <c r="B18" s="8" t="s">
        <v>20</v>
      </c>
      <c r="C18" s="7" t="s">
        <v>21</v>
      </c>
    </row>
    <row r="19" customFormat="false" ht="31.5" hidden="false" customHeight="true" outlineLevel="0" collapsed="false">
      <c r="B19" s="6" t="s">
        <v>22</v>
      </c>
      <c r="C19" s="7" t="s">
        <v>23</v>
      </c>
    </row>
    <row r="20" customFormat="false" ht="31.5" hidden="false" customHeight="true" outlineLevel="0" collapsed="false">
      <c r="B20" s="6" t="s">
        <v>24</v>
      </c>
      <c r="C20" s="7" t="s">
        <v>25</v>
      </c>
    </row>
    <row r="21" customFormat="false" ht="31.5" hidden="false" customHeight="true" outlineLevel="0" collapsed="false">
      <c r="B21" s="6" t="s">
        <v>26</v>
      </c>
      <c r="C21" s="7" t="s">
        <v>27</v>
      </c>
    </row>
    <row r="22" customFormat="false" ht="31.5" hidden="false" customHeight="true" outlineLevel="0" collapsed="false">
      <c r="B22" s="6" t="s">
        <v>28</v>
      </c>
      <c r="C22" s="7" t="s">
        <v>29</v>
      </c>
    </row>
    <row r="24" customFormat="false" ht="19.5" hidden="false" customHeight="true" outlineLevel="0" collapsed="false">
      <c r="B24" s="4" t="s">
        <v>30</v>
      </c>
      <c r="C24" s="4"/>
      <c r="D24" s="4"/>
    </row>
    <row r="25" customFormat="false" ht="15.75" hidden="false" customHeight="true" outlineLevel="0" collapsed="false">
      <c r="B25" s="5" t="s">
        <v>31</v>
      </c>
      <c r="C25" s="5"/>
      <c r="D25" s="5"/>
    </row>
    <row r="26" customFormat="false" ht="15.75" hidden="false" customHeight="true" outlineLevel="0" collapsed="false">
      <c r="B26" s="5" t="s">
        <v>32</v>
      </c>
      <c r="C26" s="5"/>
      <c r="D26" s="5"/>
    </row>
    <row r="27" customFormat="false" ht="15.75" hidden="false" customHeight="true" outlineLevel="0" collapsed="false">
      <c r="B27" s="5" t="s">
        <v>33</v>
      </c>
      <c r="C27" s="5"/>
      <c r="D27" s="5"/>
    </row>
    <row r="28" customFormat="false" ht="15.75" hidden="false" customHeight="true" outlineLevel="0" collapsed="false">
      <c r="B28" s="5" t="s">
        <v>34</v>
      </c>
      <c r="C28" s="5"/>
      <c r="D28" s="5"/>
    </row>
    <row r="29" customFormat="false" ht="15.75" hidden="false" customHeight="true" outlineLevel="0" collapsed="false">
      <c r="B29" s="5" t="s">
        <v>35</v>
      </c>
      <c r="C29" s="5"/>
      <c r="D29" s="5"/>
    </row>
    <row r="31" customFormat="false" ht="19.5" hidden="false" customHeight="true" outlineLevel="0" collapsed="false">
      <c r="B31" s="4" t="s">
        <v>36</v>
      </c>
      <c r="C31" s="4"/>
      <c r="D31" s="4"/>
    </row>
    <row r="32" customFormat="false" ht="19.5" hidden="false" customHeight="true" outlineLevel="0" collapsed="false">
      <c r="B32" s="5" t="s">
        <v>37</v>
      </c>
      <c r="C32" s="5"/>
      <c r="D32" s="5"/>
    </row>
  </sheetData>
  <mergeCells count="14">
    <mergeCell ref="B2:D2"/>
    <mergeCell ref="B3:D3"/>
    <mergeCell ref="B5:D5"/>
    <mergeCell ref="B6:D6"/>
    <mergeCell ref="B8:D8"/>
    <mergeCell ref="B17:D17"/>
    <mergeCell ref="B24:D24"/>
    <mergeCell ref="B25:D25"/>
    <mergeCell ref="B26:D26"/>
    <mergeCell ref="B27:D27"/>
    <mergeCell ref="B28:D28"/>
    <mergeCell ref="B29:D29"/>
    <mergeCell ref="B31:D31"/>
    <mergeCell ref="B32:D3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2" min="1" style="1" width="13"/>
    <col collapsed="false" customWidth="true" hidden="false" outlineLevel="0" max="3" min="3" style="1" width="16"/>
    <col collapsed="false" customWidth="true" hidden="false" outlineLevel="0" max="4" min="4" style="1" width="30"/>
    <col collapsed="false" customWidth="true" hidden="false" outlineLevel="0" max="5" min="5" style="1" width="26"/>
    <col collapsed="false" customWidth="true" hidden="false" outlineLevel="0" max="7" min="6" style="1" width="9"/>
    <col collapsed="false" customWidth="true" hidden="false" outlineLevel="0" max="8" min="8" style="1" width="15"/>
    <col collapsed="false" customWidth="true" hidden="false" outlineLevel="0" max="9" min="9" style="1" width="10"/>
    <col collapsed="false" customWidth="true" hidden="false" outlineLevel="0" max="10" min="10" style="1" width="24"/>
    <col collapsed="false" customWidth="true" hidden="false" outlineLevel="0" max="11" min="11" style="1" width="22"/>
    <col collapsed="false" customWidth="true" hidden="false" outlineLevel="0" max="12" min="12" style="1" width="9"/>
  </cols>
  <sheetData>
    <row r="1" customFormat="false" ht="16.5" hidden="false" customHeight="true" outlineLevel="0" collapsed="false">
      <c r="A1" s="9" t="s">
        <v>38</v>
      </c>
      <c r="B1" s="9" t="s">
        <v>39</v>
      </c>
      <c r="C1" s="9" t="s">
        <v>40</v>
      </c>
      <c r="D1" s="9" t="s">
        <v>41</v>
      </c>
      <c r="E1" s="9" t="s">
        <v>42</v>
      </c>
      <c r="F1" s="9" t="s">
        <v>43</v>
      </c>
      <c r="G1" s="9" t="s">
        <v>44</v>
      </c>
      <c r="H1" s="9" t="s">
        <v>45</v>
      </c>
      <c r="I1" s="9" t="s">
        <v>46</v>
      </c>
      <c r="J1" s="9" t="s">
        <v>47</v>
      </c>
      <c r="K1" s="9" t="s">
        <v>48</v>
      </c>
      <c r="L1" s="9" t="s">
        <v>49</v>
      </c>
    </row>
    <row r="2" customFormat="false" ht="15" hidden="false" customHeight="true" outlineLevel="0" collapsed="false">
      <c r="A2" s="10" t="n">
        <v>46027</v>
      </c>
      <c r="B2" s="11" t="s">
        <v>50</v>
      </c>
      <c r="C2" s="11" t="s">
        <v>51</v>
      </c>
      <c r="D2" s="11" t="s">
        <v>52</v>
      </c>
      <c r="E2" s="11" t="s">
        <v>53</v>
      </c>
      <c r="F2" s="11" t="s">
        <v>54</v>
      </c>
      <c r="G2" s="12" t="n">
        <v>1</v>
      </c>
      <c r="H2" s="12" t="n">
        <v>148200</v>
      </c>
      <c r="I2" s="11" t="s">
        <v>55</v>
      </c>
      <c r="J2" s="11" t="s">
        <v>56</v>
      </c>
      <c r="K2" s="11"/>
      <c r="L2" s="13" t="n">
        <f aca="false">IFERROR(WEEKNUM(A2,2)-WEEKNUM(DATE(YEAR(A2),1,5),2)+1,"")</f>
        <v>1</v>
      </c>
    </row>
    <row r="3" customFormat="false" ht="15" hidden="false" customHeight="true" outlineLevel="0" collapsed="false">
      <c r="A3" s="10" t="n">
        <v>46027</v>
      </c>
      <c r="B3" s="11" t="s">
        <v>57</v>
      </c>
      <c r="C3" s="11" t="s">
        <v>51</v>
      </c>
      <c r="D3" s="11" t="s">
        <v>58</v>
      </c>
      <c r="E3" s="11" t="s">
        <v>53</v>
      </c>
      <c r="F3" s="11" t="s">
        <v>54</v>
      </c>
      <c r="G3" s="12" t="n">
        <v>1</v>
      </c>
      <c r="H3" s="12" t="n">
        <v>195000</v>
      </c>
      <c r="I3" s="11" t="s">
        <v>55</v>
      </c>
      <c r="J3" s="11" t="s">
        <v>56</v>
      </c>
      <c r="K3" s="11"/>
      <c r="L3" s="13" t="n">
        <f aca="false">IFERROR(WEEKNUM(A3,2)-WEEKNUM(DATE(YEAR(A3),1,5),2)+1,"")</f>
        <v>1</v>
      </c>
    </row>
    <row r="4" customFormat="false" ht="15" hidden="false" customHeight="true" outlineLevel="0" collapsed="false">
      <c r="A4" s="10" t="n">
        <v>46034</v>
      </c>
      <c r="B4" s="11" t="s">
        <v>59</v>
      </c>
      <c r="C4" s="11" t="s">
        <v>51</v>
      </c>
      <c r="D4" s="11" t="s">
        <v>52</v>
      </c>
      <c r="E4" s="11" t="s">
        <v>53</v>
      </c>
      <c r="F4" s="11" t="s">
        <v>54</v>
      </c>
      <c r="G4" s="12" t="n">
        <v>1</v>
      </c>
      <c r="H4" s="12" t="n">
        <v>152400</v>
      </c>
      <c r="I4" s="11" t="s">
        <v>55</v>
      </c>
      <c r="J4" s="11" t="s">
        <v>56</v>
      </c>
      <c r="K4" s="11"/>
      <c r="L4" s="13" t="n">
        <f aca="false">IFERROR(WEEKNUM(A4,2)-WEEKNUM(DATE(YEAR(A4),1,5),2)+1,"")</f>
        <v>2</v>
      </c>
    </row>
    <row r="5" customFormat="false" ht="15" hidden="false" customHeight="true" outlineLevel="0" collapsed="false">
      <c r="A5" s="10" t="n">
        <v>46034</v>
      </c>
      <c r="B5" s="11" t="s">
        <v>60</v>
      </c>
      <c r="C5" s="11" t="s">
        <v>51</v>
      </c>
      <c r="D5" s="11" t="s">
        <v>58</v>
      </c>
      <c r="E5" s="11" t="s">
        <v>53</v>
      </c>
      <c r="F5" s="11" t="s">
        <v>54</v>
      </c>
      <c r="G5" s="12" t="n">
        <v>1</v>
      </c>
      <c r="H5" s="12" t="n">
        <v>210000</v>
      </c>
      <c r="I5" s="11" t="s">
        <v>55</v>
      </c>
      <c r="J5" s="11" t="s">
        <v>56</v>
      </c>
      <c r="K5" s="11"/>
      <c r="L5" s="13" t="n">
        <f aca="false">IFERROR(WEEKNUM(A5,2)-WEEKNUM(DATE(YEAR(A5),1,5),2)+1,"")</f>
        <v>2</v>
      </c>
    </row>
    <row r="6" customFormat="false" ht="15" hidden="false" customHeight="true" outlineLevel="0" collapsed="false">
      <c r="A6" s="10" t="n">
        <v>46041</v>
      </c>
      <c r="B6" s="11" t="s">
        <v>61</v>
      </c>
      <c r="C6" s="11" t="s">
        <v>51</v>
      </c>
      <c r="D6" s="11" t="s">
        <v>52</v>
      </c>
      <c r="E6" s="11" t="s">
        <v>53</v>
      </c>
      <c r="F6" s="11" t="s">
        <v>54</v>
      </c>
      <c r="G6" s="12" t="n">
        <v>1</v>
      </c>
      <c r="H6" s="12" t="n">
        <v>144500</v>
      </c>
      <c r="I6" s="11" t="s">
        <v>55</v>
      </c>
      <c r="J6" s="11" t="s">
        <v>56</v>
      </c>
      <c r="K6" s="11"/>
      <c r="L6" s="13" t="n">
        <f aca="false">IFERROR(WEEKNUM(A6,2)-WEEKNUM(DATE(YEAR(A6),1,5),2)+1,"")</f>
        <v>3</v>
      </c>
    </row>
    <row r="7" customFormat="false" ht="15" hidden="false" customHeight="true" outlineLevel="0" collapsed="false">
      <c r="A7" s="10" t="n">
        <v>46041</v>
      </c>
      <c r="B7" s="11" t="s">
        <v>62</v>
      </c>
      <c r="C7" s="11" t="s">
        <v>51</v>
      </c>
      <c r="D7" s="11" t="s">
        <v>58</v>
      </c>
      <c r="E7" s="11" t="s">
        <v>53</v>
      </c>
      <c r="F7" s="11" t="s">
        <v>54</v>
      </c>
      <c r="G7" s="12" t="n">
        <v>1</v>
      </c>
      <c r="H7" s="12" t="n">
        <v>223000</v>
      </c>
      <c r="I7" s="11" t="s">
        <v>55</v>
      </c>
      <c r="J7" s="11" t="s">
        <v>56</v>
      </c>
      <c r="K7" s="11"/>
      <c r="L7" s="13" t="n">
        <f aca="false">IFERROR(WEEKNUM(A7,2)-WEEKNUM(DATE(YEAR(A7),1,5),2)+1,"")</f>
        <v>3</v>
      </c>
    </row>
    <row r="8" customFormat="false" ht="15" hidden="false" customHeight="true" outlineLevel="0" collapsed="false">
      <c r="A8" s="10" t="n">
        <v>46048</v>
      </c>
      <c r="B8" s="11" t="s">
        <v>63</v>
      </c>
      <c r="C8" s="11" t="s">
        <v>51</v>
      </c>
      <c r="D8" s="11" t="s">
        <v>52</v>
      </c>
      <c r="E8" s="11" t="s">
        <v>53</v>
      </c>
      <c r="F8" s="11" t="s">
        <v>54</v>
      </c>
      <c r="G8" s="12" t="n">
        <v>1</v>
      </c>
      <c r="H8" s="12" t="n">
        <v>156800</v>
      </c>
      <c r="I8" s="11" t="s">
        <v>55</v>
      </c>
      <c r="J8" s="11" t="s">
        <v>56</v>
      </c>
      <c r="K8" s="11"/>
      <c r="L8" s="13" t="n">
        <f aca="false">IFERROR(WEEKNUM(A8,2)-WEEKNUM(DATE(YEAR(A8),1,5),2)+1,"")</f>
        <v>4</v>
      </c>
    </row>
    <row r="9" customFormat="false" ht="15" hidden="false" customHeight="true" outlineLevel="0" collapsed="false">
      <c r="A9" s="10" t="n">
        <v>46048</v>
      </c>
      <c r="B9" s="11" t="s">
        <v>64</v>
      </c>
      <c r="C9" s="11" t="s">
        <v>51</v>
      </c>
      <c r="D9" s="11" t="s">
        <v>58</v>
      </c>
      <c r="E9" s="11" t="s">
        <v>53</v>
      </c>
      <c r="F9" s="11" t="s">
        <v>54</v>
      </c>
      <c r="G9" s="12" t="n">
        <v>1</v>
      </c>
      <c r="H9" s="12" t="n">
        <v>198000</v>
      </c>
      <c r="I9" s="11" t="s">
        <v>55</v>
      </c>
      <c r="J9" s="11" t="s">
        <v>56</v>
      </c>
      <c r="K9" s="11"/>
      <c r="L9" s="13" t="n">
        <f aca="false">IFERROR(WEEKNUM(A9,2)-WEEKNUM(DATE(YEAR(A9),1,5),2)+1,"")</f>
        <v>4</v>
      </c>
    </row>
    <row r="10" customFormat="false" ht="15" hidden="false" customHeight="true" outlineLevel="0" collapsed="false">
      <c r="A10" s="10" t="n">
        <v>46076</v>
      </c>
      <c r="B10" s="11" t="s">
        <v>65</v>
      </c>
      <c r="C10" s="11" t="s">
        <v>51</v>
      </c>
      <c r="D10" s="11" t="s">
        <v>52</v>
      </c>
      <c r="E10" s="11" t="s">
        <v>53</v>
      </c>
      <c r="F10" s="11" t="s">
        <v>54</v>
      </c>
      <c r="G10" s="12" t="n">
        <v>1</v>
      </c>
      <c r="H10" s="12" t="n">
        <v>162000</v>
      </c>
      <c r="I10" s="11" t="s">
        <v>55</v>
      </c>
      <c r="J10" s="11" t="s">
        <v>56</v>
      </c>
      <c r="K10" s="11"/>
      <c r="L10" s="13" t="n">
        <f aca="false">IFERROR(WEEKNUM(A10,2)-WEEKNUM(DATE(YEAR(A10),1,5),2)+1,"")</f>
        <v>8</v>
      </c>
    </row>
    <row r="11" customFormat="false" ht="15" hidden="false" customHeight="true" outlineLevel="0" collapsed="false">
      <c r="A11" s="10" t="n">
        <v>46076</v>
      </c>
      <c r="B11" s="11" t="s">
        <v>66</v>
      </c>
      <c r="C11" s="11" t="s">
        <v>51</v>
      </c>
      <c r="D11" s="11" t="s">
        <v>58</v>
      </c>
      <c r="E11" s="11" t="s">
        <v>53</v>
      </c>
      <c r="F11" s="11" t="s">
        <v>54</v>
      </c>
      <c r="G11" s="12" t="n">
        <v>1</v>
      </c>
      <c r="H11" s="12" t="n">
        <v>215500</v>
      </c>
      <c r="I11" s="11" t="s">
        <v>55</v>
      </c>
      <c r="J11" s="11" t="s">
        <v>56</v>
      </c>
      <c r="K11" s="11"/>
      <c r="L11" s="13" t="n">
        <f aca="false">IFERROR(WEEKNUM(A11,2)-WEEKNUM(DATE(YEAR(A11),1,5),2)+1,"")</f>
        <v>8</v>
      </c>
    </row>
    <row r="12" customFormat="false" ht="15" hidden="false" customHeight="true" outlineLevel="0" collapsed="false">
      <c r="A12" s="10" t="n">
        <v>46083</v>
      </c>
      <c r="B12" s="11" t="s">
        <v>67</v>
      </c>
      <c r="C12" s="11" t="s">
        <v>51</v>
      </c>
      <c r="D12" s="11" t="s">
        <v>52</v>
      </c>
      <c r="E12" s="11" t="s">
        <v>53</v>
      </c>
      <c r="F12" s="11" t="s">
        <v>54</v>
      </c>
      <c r="G12" s="12" t="n">
        <v>1</v>
      </c>
      <c r="H12" s="12" t="n">
        <v>158700</v>
      </c>
      <c r="I12" s="11" t="s">
        <v>55</v>
      </c>
      <c r="J12" s="11" t="s">
        <v>56</v>
      </c>
      <c r="K12" s="11"/>
      <c r="L12" s="13" t="n">
        <f aca="false">IFERROR(WEEKNUM(A12,2)-WEEKNUM(DATE(YEAR(A12),1,5),2)+1,"")</f>
        <v>9</v>
      </c>
    </row>
    <row r="13" customFormat="false" ht="15" hidden="false" customHeight="true" outlineLevel="0" collapsed="false">
      <c r="A13" s="10" t="n">
        <v>46090</v>
      </c>
      <c r="B13" s="11" t="s">
        <v>68</v>
      </c>
      <c r="C13" s="11" t="s">
        <v>51</v>
      </c>
      <c r="D13" s="11" t="s">
        <v>58</v>
      </c>
      <c r="E13" s="11" t="s">
        <v>53</v>
      </c>
      <c r="F13" s="11" t="s">
        <v>54</v>
      </c>
      <c r="G13" s="12" t="n">
        <v>1</v>
      </c>
      <c r="H13" s="12" t="n">
        <v>229000</v>
      </c>
      <c r="I13" s="11" t="s">
        <v>55</v>
      </c>
      <c r="J13" s="11" t="s">
        <v>56</v>
      </c>
      <c r="K13" s="11"/>
      <c r="L13" s="13" t="n">
        <f aca="false">IFERROR(WEEKNUM(A13,2)-WEEKNUM(DATE(YEAR(A13),1,5),2)+1,"")</f>
        <v>10</v>
      </c>
    </row>
    <row r="14" customFormat="false" ht="15" hidden="false" customHeight="true" outlineLevel="0" collapsed="false">
      <c r="A14" s="10" t="n">
        <v>46027</v>
      </c>
      <c r="B14" s="11" t="s">
        <v>69</v>
      </c>
      <c r="C14" s="11" t="s">
        <v>51</v>
      </c>
      <c r="D14" s="11" t="s">
        <v>70</v>
      </c>
      <c r="E14" s="11" t="s">
        <v>71</v>
      </c>
      <c r="F14" s="11" t="s">
        <v>54</v>
      </c>
      <c r="G14" s="12" t="n">
        <v>1</v>
      </c>
      <c r="H14" s="12" t="n">
        <v>42500</v>
      </c>
      <c r="I14" s="11" t="s">
        <v>55</v>
      </c>
      <c r="J14" s="11" t="s">
        <v>56</v>
      </c>
      <c r="K14" s="11"/>
      <c r="L14" s="13" t="n">
        <f aca="false">IFERROR(WEEKNUM(A14,2)-WEEKNUM(DATE(YEAR(A14),1,5),2)+1,"")</f>
        <v>1</v>
      </c>
    </row>
    <row r="15" customFormat="false" ht="15" hidden="false" customHeight="true" outlineLevel="0" collapsed="false">
      <c r="A15" s="10" t="n">
        <v>46027</v>
      </c>
      <c r="B15" s="11" t="s">
        <v>72</v>
      </c>
      <c r="C15" s="11" t="s">
        <v>51</v>
      </c>
      <c r="D15" s="11" t="s">
        <v>73</v>
      </c>
      <c r="E15" s="11" t="s">
        <v>71</v>
      </c>
      <c r="F15" s="11" t="s">
        <v>54</v>
      </c>
      <c r="G15" s="12" t="n">
        <v>1</v>
      </c>
      <c r="H15" s="12" t="n">
        <v>63400</v>
      </c>
      <c r="I15" s="11" t="s">
        <v>55</v>
      </c>
      <c r="J15" s="11" t="s">
        <v>56</v>
      </c>
      <c r="K15" s="11"/>
      <c r="L15" s="13" t="n">
        <f aca="false">IFERROR(WEEKNUM(A15,2)-WEEKNUM(DATE(YEAR(A15),1,5),2)+1,"")</f>
        <v>1</v>
      </c>
    </row>
    <row r="16" customFormat="false" ht="15" hidden="false" customHeight="true" outlineLevel="0" collapsed="false">
      <c r="A16" s="10" t="n">
        <v>46034</v>
      </c>
      <c r="B16" s="11" t="s">
        <v>74</v>
      </c>
      <c r="C16" s="11" t="s">
        <v>51</v>
      </c>
      <c r="D16" s="11" t="s">
        <v>75</v>
      </c>
      <c r="E16" s="11" t="s">
        <v>71</v>
      </c>
      <c r="F16" s="11" t="s">
        <v>54</v>
      </c>
      <c r="G16" s="12" t="n">
        <v>1</v>
      </c>
      <c r="H16" s="12" t="n">
        <v>38700</v>
      </c>
      <c r="I16" s="11" t="s">
        <v>55</v>
      </c>
      <c r="J16" s="11" t="s">
        <v>56</v>
      </c>
      <c r="K16" s="11"/>
      <c r="L16" s="13" t="n">
        <f aca="false">IFERROR(WEEKNUM(A16,2)-WEEKNUM(DATE(YEAR(A16),1,5),2)+1,"")</f>
        <v>2</v>
      </c>
    </row>
    <row r="17" customFormat="false" ht="15" hidden="false" customHeight="true" outlineLevel="0" collapsed="false">
      <c r="A17" s="10" t="n">
        <v>46034</v>
      </c>
      <c r="B17" s="11" t="s">
        <v>76</v>
      </c>
      <c r="C17" s="11" t="s">
        <v>51</v>
      </c>
      <c r="D17" s="11" t="s">
        <v>77</v>
      </c>
      <c r="E17" s="11" t="s">
        <v>71</v>
      </c>
      <c r="F17" s="11" t="s">
        <v>54</v>
      </c>
      <c r="G17" s="12" t="n">
        <v>1</v>
      </c>
      <c r="H17" s="12" t="n">
        <v>55000</v>
      </c>
      <c r="I17" s="11" t="s">
        <v>55</v>
      </c>
      <c r="J17" s="11" t="s">
        <v>56</v>
      </c>
      <c r="K17" s="11"/>
      <c r="L17" s="13" t="n">
        <f aca="false">IFERROR(WEEKNUM(A17,2)-WEEKNUM(DATE(YEAR(A17),1,5),2)+1,"")</f>
        <v>2</v>
      </c>
    </row>
    <row r="18" customFormat="false" ht="15" hidden="false" customHeight="true" outlineLevel="0" collapsed="false">
      <c r="A18" s="10" t="n">
        <v>46041</v>
      </c>
      <c r="B18" s="11" t="s">
        <v>78</v>
      </c>
      <c r="C18" s="11" t="s">
        <v>51</v>
      </c>
      <c r="D18" s="11" t="s">
        <v>70</v>
      </c>
      <c r="E18" s="11" t="s">
        <v>71</v>
      </c>
      <c r="F18" s="11" t="s">
        <v>54</v>
      </c>
      <c r="G18" s="12" t="n">
        <v>1</v>
      </c>
      <c r="H18" s="12" t="n">
        <v>47800</v>
      </c>
      <c r="I18" s="11" t="s">
        <v>55</v>
      </c>
      <c r="J18" s="11" t="s">
        <v>56</v>
      </c>
      <c r="K18" s="11"/>
      <c r="L18" s="13" t="n">
        <f aca="false">IFERROR(WEEKNUM(A18,2)-WEEKNUM(DATE(YEAR(A18),1,5),2)+1,"")</f>
        <v>3</v>
      </c>
    </row>
    <row r="19" customFormat="false" ht="15" hidden="false" customHeight="true" outlineLevel="0" collapsed="false">
      <c r="A19" s="10" t="n">
        <v>46041</v>
      </c>
      <c r="B19" s="11" t="s">
        <v>79</v>
      </c>
      <c r="C19" s="11" t="s">
        <v>51</v>
      </c>
      <c r="D19" s="11" t="s">
        <v>73</v>
      </c>
      <c r="E19" s="11" t="s">
        <v>71</v>
      </c>
      <c r="F19" s="11" t="s">
        <v>54</v>
      </c>
      <c r="G19" s="12" t="n">
        <v>1</v>
      </c>
      <c r="H19" s="12" t="n">
        <v>61200</v>
      </c>
      <c r="I19" s="11" t="s">
        <v>55</v>
      </c>
      <c r="J19" s="11" t="s">
        <v>56</v>
      </c>
      <c r="K19" s="11"/>
      <c r="L19" s="13" t="n">
        <f aca="false">IFERROR(WEEKNUM(A19,2)-WEEKNUM(DATE(YEAR(A19),1,5),2)+1,"")</f>
        <v>3</v>
      </c>
    </row>
    <row r="20" customFormat="false" ht="15" hidden="false" customHeight="true" outlineLevel="0" collapsed="false">
      <c r="A20" s="10" t="n">
        <v>46048</v>
      </c>
      <c r="B20" s="11" t="s">
        <v>80</v>
      </c>
      <c r="C20" s="11" t="s">
        <v>51</v>
      </c>
      <c r="D20" s="11" t="s">
        <v>75</v>
      </c>
      <c r="E20" s="11" t="s">
        <v>71</v>
      </c>
      <c r="F20" s="11" t="s">
        <v>54</v>
      </c>
      <c r="G20" s="12" t="n">
        <v>1</v>
      </c>
      <c r="H20" s="12" t="n">
        <v>41300</v>
      </c>
      <c r="I20" s="11" t="s">
        <v>55</v>
      </c>
      <c r="J20" s="11" t="s">
        <v>56</v>
      </c>
      <c r="K20" s="11"/>
      <c r="L20" s="13" t="n">
        <f aca="false">IFERROR(WEEKNUM(A20,2)-WEEKNUM(DATE(YEAR(A20),1,5),2)+1,"")</f>
        <v>4</v>
      </c>
    </row>
    <row r="21" customFormat="false" ht="15" hidden="false" customHeight="true" outlineLevel="0" collapsed="false">
      <c r="A21" s="10" t="n">
        <v>46048</v>
      </c>
      <c r="B21" s="11" t="s">
        <v>81</v>
      </c>
      <c r="C21" s="11" t="s">
        <v>51</v>
      </c>
      <c r="D21" s="11" t="s">
        <v>77</v>
      </c>
      <c r="E21" s="11" t="s">
        <v>71</v>
      </c>
      <c r="F21" s="11" t="s">
        <v>54</v>
      </c>
      <c r="G21" s="12" t="n">
        <v>1</v>
      </c>
      <c r="H21" s="12" t="n">
        <v>59800</v>
      </c>
      <c r="I21" s="11" t="s">
        <v>55</v>
      </c>
      <c r="J21" s="11" t="s">
        <v>56</v>
      </c>
      <c r="K21" s="11"/>
      <c r="L21" s="13" t="n">
        <f aca="false">IFERROR(WEEKNUM(A21,2)-WEEKNUM(DATE(YEAR(A21),1,5),2)+1,"")</f>
        <v>4</v>
      </c>
    </row>
    <row r="22" customFormat="false" ht="15" hidden="false" customHeight="true" outlineLevel="0" collapsed="false">
      <c r="A22" s="10" t="n">
        <v>46055</v>
      </c>
      <c r="B22" s="11" t="s">
        <v>82</v>
      </c>
      <c r="C22" s="11" t="s">
        <v>51</v>
      </c>
      <c r="D22" s="11" t="s">
        <v>70</v>
      </c>
      <c r="E22" s="11" t="s">
        <v>71</v>
      </c>
      <c r="F22" s="11" t="s">
        <v>54</v>
      </c>
      <c r="G22" s="12" t="n">
        <v>1</v>
      </c>
      <c r="H22" s="12" t="n">
        <v>45200</v>
      </c>
      <c r="I22" s="11" t="s">
        <v>55</v>
      </c>
      <c r="J22" s="11" t="s">
        <v>56</v>
      </c>
      <c r="K22" s="11"/>
      <c r="L22" s="13" t="n">
        <f aca="false">IFERROR(WEEKNUM(A22,2)-WEEKNUM(DATE(YEAR(A22),1,5),2)+1,"")</f>
        <v>5</v>
      </c>
    </row>
    <row r="23" customFormat="false" ht="15" hidden="false" customHeight="true" outlineLevel="0" collapsed="false">
      <c r="A23" s="10" t="n">
        <v>46055</v>
      </c>
      <c r="B23" s="11" t="s">
        <v>83</v>
      </c>
      <c r="C23" s="11" t="s">
        <v>51</v>
      </c>
      <c r="D23" s="11" t="s">
        <v>73</v>
      </c>
      <c r="E23" s="11" t="s">
        <v>71</v>
      </c>
      <c r="F23" s="11" t="s">
        <v>54</v>
      </c>
      <c r="G23" s="12" t="n">
        <v>1</v>
      </c>
      <c r="H23" s="12" t="n">
        <v>67500</v>
      </c>
      <c r="I23" s="11" t="s">
        <v>55</v>
      </c>
      <c r="J23" s="11" t="s">
        <v>56</v>
      </c>
      <c r="K23" s="11"/>
      <c r="L23" s="13" t="n">
        <f aca="false">IFERROR(WEEKNUM(A23,2)-WEEKNUM(DATE(YEAR(A23),1,5),2)+1,"")</f>
        <v>5</v>
      </c>
    </row>
    <row r="24" customFormat="false" ht="15" hidden="false" customHeight="true" outlineLevel="0" collapsed="false">
      <c r="A24" s="10" t="n">
        <v>46062</v>
      </c>
      <c r="B24" s="11" t="s">
        <v>84</v>
      </c>
      <c r="C24" s="11" t="s">
        <v>51</v>
      </c>
      <c r="D24" s="11" t="s">
        <v>75</v>
      </c>
      <c r="E24" s="11" t="s">
        <v>71</v>
      </c>
      <c r="F24" s="11" t="s">
        <v>54</v>
      </c>
      <c r="G24" s="12" t="n">
        <v>1</v>
      </c>
      <c r="H24" s="12" t="n">
        <v>44600</v>
      </c>
      <c r="I24" s="11" t="s">
        <v>55</v>
      </c>
      <c r="J24" s="11" t="s">
        <v>56</v>
      </c>
      <c r="K24" s="11"/>
      <c r="L24" s="13" t="n">
        <f aca="false">IFERROR(WEEKNUM(A24,2)-WEEKNUM(DATE(YEAR(A24),1,5),2)+1,"")</f>
        <v>6</v>
      </c>
    </row>
    <row r="25" customFormat="false" ht="15" hidden="false" customHeight="true" outlineLevel="0" collapsed="false">
      <c r="A25" s="10" t="n">
        <v>46062</v>
      </c>
      <c r="B25" s="11" t="s">
        <v>85</v>
      </c>
      <c r="C25" s="11" t="s">
        <v>51</v>
      </c>
      <c r="D25" s="11" t="s">
        <v>77</v>
      </c>
      <c r="E25" s="11" t="s">
        <v>71</v>
      </c>
      <c r="F25" s="11" t="s">
        <v>54</v>
      </c>
      <c r="G25" s="12" t="n">
        <v>1</v>
      </c>
      <c r="H25" s="12" t="n">
        <v>58200</v>
      </c>
      <c r="I25" s="11" t="s">
        <v>55</v>
      </c>
      <c r="J25" s="11" t="s">
        <v>56</v>
      </c>
      <c r="K25" s="11"/>
      <c r="L25" s="13" t="n">
        <f aca="false">IFERROR(WEEKNUM(A25,2)-WEEKNUM(DATE(YEAR(A25),1,5),2)+1,"")</f>
        <v>6</v>
      </c>
    </row>
    <row r="26" customFormat="false" ht="15" hidden="false" customHeight="true" outlineLevel="0" collapsed="false">
      <c r="A26" s="10" t="n">
        <v>46069</v>
      </c>
      <c r="B26" s="11" t="s">
        <v>86</v>
      </c>
      <c r="C26" s="11" t="s">
        <v>51</v>
      </c>
      <c r="D26" s="11" t="s">
        <v>70</v>
      </c>
      <c r="E26" s="11" t="s">
        <v>71</v>
      </c>
      <c r="F26" s="11" t="s">
        <v>54</v>
      </c>
      <c r="G26" s="12" t="n">
        <v>1</v>
      </c>
      <c r="H26" s="12" t="n">
        <v>49700</v>
      </c>
      <c r="I26" s="11" t="s">
        <v>55</v>
      </c>
      <c r="J26" s="11" t="s">
        <v>56</v>
      </c>
      <c r="K26" s="11"/>
      <c r="L26" s="13" t="n">
        <f aca="false">IFERROR(WEEKNUM(A26,2)-WEEKNUM(DATE(YEAR(A26),1,5),2)+1,"")</f>
        <v>7</v>
      </c>
    </row>
    <row r="27" customFormat="false" ht="15" hidden="false" customHeight="true" outlineLevel="0" collapsed="false">
      <c r="A27" s="10" t="n">
        <v>46069</v>
      </c>
      <c r="B27" s="11" t="s">
        <v>87</v>
      </c>
      <c r="C27" s="11" t="s">
        <v>51</v>
      </c>
      <c r="D27" s="11" t="s">
        <v>73</v>
      </c>
      <c r="E27" s="11" t="s">
        <v>71</v>
      </c>
      <c r="F27" s="11" t="s">
        <v>54</v>
      </c>
      <c r="G27" s="12" t="n">
        <v>1</v>
      </c>
      <c r="H27" s="12" t="n">
        <v>64900</v>
      </c>
      <c r="I27" s="11" t="s">
        <v>55</v>
      </c>
      <c r="J27" s="11" t="s">
        <v>56</v>
      </c>
      <c r="K27" s="11"/>
      <c r="L27" s="13" t="n">
        <f aca="false">IFERROR(WEEKNUM(A27,2)-WEEKNUM(DATE(YEAR(A27),1,5),2)+1,"")</f>
        <v>7</v>
      </c>
    </row>
    <row r="28" customFormat="false" ht="15" hidden="false" customHeight="true" outlineLevel="0" collapsed="false">
      <c r="A28" s="10" t="n">
        <v>46076</v>
      </c>
      <c r="B28" s="11" t="s">
        <v>88</v>
      </c>
      <c r="C28" s="11" t="s">
        <v>51</v>
      </c>
      <c r="D28" s="11" t="s">
        <v>75</v>
      </c>
      <c r="E28" s="11" t="s">
        <v>71</v>
      </c>
      <c r="F28" s="11" t="s">
        <v>54</v>
      </c>
      <c r="G28" s="12" t="n">
        <v>1</v>
      </c>
      <c r="H28" s="12" t="n">
        <v>43100</v>
      </c>
      <c r="I28" s="11" t="s">
        <v>55</v>
      </c>
      <c r="J28" s="11" t="s">
        <v>56</v>
      </c>
      <c r="K28" s="11"/>
      <c r="L28" s="13" t="n">
        <f aca="false">IFERROR(WEEKNUM(A28,2)-WEEKNUM(DATE(YEAR(A28),1,5),2)+1,"")</f>
        <v>8</v>
      </c>
    </row>
    <row r="29" customFormat="false" ht="15" hidden="false" customHeight="true" outlineLevel="0" collapsed="false">
      <c r="A29" s="10" t="n">
        <v>46076</v>
      </c>
      <c r="B29" s="11" t="s">
        <v>89</v>
      </c>
      <c r="C29" s="11" t="s">
        <v>51</v>
      </c>
      <c r="D29" s="11" t="s">
        <v>77</v>
      </c>
      <c r="E29" s="11" t="s">
        <v>71</v>
      </c>
      <c r="F29" s="11" t="s">
        <v>54</v>
      </c>
      <c r="G29" s="12" t="n">
        <v>1</v>
      </c>
      <c r="H29" s="12" t="n">
        <v>61500</v>
      </c>
      <c r="I29" s="11" t="s">
        <v>55</v>
      </c>
      <c r="J29" s="11" t="s">
        <v>56</v>
      </c>
      <c r="K29" s="11"/>
      <c r="L29" s="13" t="n">
        <f aca="false">IFERROR(WEEKNUM(A29,2)-WEEKNUM(DATE(YEAR(A29),1,5),2)+1,"")</f>
        <v>8</v>
      </c>
    </row>
    <row r="30" customFormat="false" ht="15" hidden="false" customHeight="true" outlineLevel="0" collapsed="false">
      <c r="A30" s="10" t="n">
        <v>46083</v>
      </c>
      <c r="B30" s="11" t="s">
        <v>90</v>
      </c>
      <c r="C30" s="11" t="s">
        <v>51</v>
      </c>
      <c r="D30" s="11" t="s">
        <v>70</v>
      </c>
      <c r="E30" s="11" t="s">
        <v>71</v>
      </c>
      <c r="F30" s="11" t="s">
        <v>54</v>
      </c>
      <c r="G30" s="12" t="n">
        <v>1</v>
      </c>
      <c r="H30" s="12" t="n">
        <v>51200</v>
      </c>
      <c r="I30" s="11" t="s">
        <v>55</v>
      </c>
      <c r="J30" s="11" t="s">
        <v>56</v>
      </c>
      <c r="K30" s="11"/>
      <c r="L30" s="13" t="n">
        <f aca="false">IFERROR(WEEKNUM(A30,2)-WEEKNUM(DATE(YEAR(A30),1,5),2)+1,"")</f>
        <v>9</v>
      </c>
    </row>
    <row r="31" customFormat="false" ht="15" hidden="false" customHeight="true" outlineLevel="0" collapsed="false">
      <c r="A31" s="10" t="n">
        <v>46090</v>
      </c>
      <c r="B31" s="11" t="s">
        <v>91</v>
      </c>
      <c r="C31" s="11" t="s">
        <v>51</v>
      </c>
      <c r="D31" s="11" t="s">
        <v>73</v>
      </c>
      <c r="E31" s="11" t="s">
        <v>71</v>
      </c>
      <c r="F31" s="11" t="s">
        <v>54</v>
      </c>
      <c r="G31" s="12" t="n">
        <v>1</v>
      </c>
      <c r="H31" s="12" t="n">
        <v>68400</v>
      </c>
      <c r="I31" s="11" t="s">
        <v>55</v>
      </c>
      <c r="J31" s="11" t="s">
        <v>56</v>
      </c>
      <c r="K31" s="11"/>
      <c r="L31" s="13" t="n">
        <f aca="false">IFERROR(WEEKNUM(A31,2)-WEEKNUM(DATE(YEAR(A31),1,5),2)+1,"")</f>
        <v>10</v>
      </c>
    </row>
    <row r="32" customFormat="false" ht="15" hidden="false" customHeight="true" outlineLevel="0" collapsed="false">
      <c r="A32" s="10" t="n">
        <v>46090</v>
      </c>
      <c r="B32" s="11" t="s">
        <v>92</v>
      </c>
      <c r="C32" s="11" t="s">
        <v>51</v>
      </c>
      <c r="D32" s="11" t="s">
        <v>75</v>
      </c>
      <c r="E32" s="11" t="s">
        <v>71</v>
      </c>
      <c r="F32" s="11" t="s">
        <v>54</v>
      </c>
      <c r="G32" s="12" t="n">
        <v>1</v>
      </c>
      <c r="H32" s="12" t="n">
        <v>46300</v>
      </c>
      <c r="I32" s="11" t="s">
        <v>55</v>
      </c>
      <c r="J32" s="11" t="s">
        <v>56</v>
      </c>
      <c r="K32" s="11"/>
      <c r="L32" s="13" t="n">
        <f aca="false">IFERROR(WEEKNUM(A32,2)-WEEKNUM(DATE(YEAR(A32),1,5),2)+1,"")</f>
        <v>10</v>
      </c>
    </row>
    <row r="33" customFormat="false" ht="15" hidden="false" customHeight="true" outlineLevel="0" collapsed="false">
      <c r="A33" s="10" t="n">
        <v>46104</v>
      </c>
      <c r="B33" s="11" t="s">
        <v>93</v>
      </c>
      <c r="C33" s="11" t="s">
        <v>51</v>
      </c>
      <c r="D33" s="11" t="s">
        <v>77</v>
      </c>
      <c r="E33" s="11" t="s">
        <v>71</v>
      </c>
      <c r="F33" s="11" t="s">
        <v>54</v>
      </c>
      <c r="G33" s="12" t="n">
        <v>1</v>
      </c>
      <c r="H33" s="12" t="n">
        <v>62800</v>
      </c>
      <c r="I33" s="11" t="s">
        <v>55</v>
      </c>
      <c r="J33" s="11" t="s">
        <v>56</v>
      </c>
      <c r="K33" s="11"/>
      <c r="L33" s="13" t="n">
        <f aca="false">IFERROR(WEEKNUM(A33,2)-WEEKNUM(DATE(YEAR(A33),1,5),2)+1,"")</f>
        <v>12</v>
      </c>
    </row>
    <row r="34" customFormat="false" ht="15" hidden="false" customHeight="true" outlineLevel="0" collapsed="false">
      <c r="A34" s="10" t="n">
        <v>46027</v>
      </c>
      <c r="B34" s="11" t="s">
        <v>94</v>
      </c>
      <c r="C34" s="11" t="s">
        <v>95</v>
      </c>
      <c r="D34" s="11" t="s">
        <v>96</v>
      </c>
      <c r="E34" s="11" t="s">
        <v>97</v>
      </c>
      <c r="F34" s="11" t="s">
        <v>54</v>
      </c>
      <c r="G34" s="12" t="n">
        <v>1</v>
      </c>
      <c r="H34" s="12" t="n">
        <v>11800</v>
      </c>
      <c r="I34" s="11" t="s">
        <v>55</v>
      </c>
      <c r="J34" s="11" t="s">
        <v>56</v>
      </c>
      <c r="K34" s="11"/>
      <c r="L34" s="13" t="n">
        <f aca="false">IFERROR(WEEKNUM(A34,2)-WEEKNUM(DATE(YEAR(A34),1,5),2)+1,"")</f>
        <v>1</v>
      </c>
    </row>
    <row r="35" customFormat="false" ht="15" hidden="false" customHeight="true" outlineLevel="0" collapsed="false">
      <c r="A35" s="10" t="n">
        <v>46027</v>
      </c>
      <c r="B35" s="11" t="s">
        <v>98</v>
      </c>
      <c r="C35" s="11" t="s">
        <v>95</v>
      </c>
      <c r="D35" s="11" t="s">
        <v>99</v>
      </c>
      <c r="E35" s="11" t="s">
        <v>97</v>
      </c>
      <c r="F35" s="11" t="s">
        <v>54</v>
      </c>
      <c r="G35" s="12" t="n">
        <v>1</v>
      </c>
      <c r="H35" s="12" t="n">
        <v>9200</v>
      </c>
      <c r="I35" s="11" t="s">
        <v>55</v>
      </c>
      <c r="J35" s="11" t="s">
        <v>56</v>
      </c>
      <c r="K35" s="11"/>
      <c r="L35" s="13" t="n">
        <f aca="false">IFERROR(WEEKNUM(A35,2)-WEEKNUM(DATE(YEAR(A35),1,5),2)+1,"")</f>
        <v>1</v>
      </c>
    </row>
    <row r="36" customFormat="false" ht="15" hidden="false" customHeight="true" outlineLevel="0" collapsed="false">
      <c r="A36" s="10" t="n">
        <v>46034</v>
      </c>
      <c r="B36" s="11" t="s">
        <v>100</v>
      </c>
      <c r="C36" s="11" t="s">
        <v>95</v>
      </c>
      <c r="D36" s="11" t="s">
        <v>96</v>
      </c>
      <c r="E36" s="11" t="s">
        <v>97</v>
      </c>
      <c r="F36" s="11" t="s">
        <v>54</v>
      </c>
      <c r="G36" s="12" t="n">
        <v>1</v>
      </c>
      <c r="H36" s="12" t="n">
        <v>12500</v>
      </c>
      <c r="I36" s="11" t="s">
        <v>55</v>
      </c>
      <c r="J36" s="11" t="s">
        <v>56</v>
      </c>
      <c r="K36" s="11"/>
      <c r="L36" s="13" t="n">
        <f aca="false">IFERROR(WEEKNUM(A36,2)-WEEKNUM(DATE(YEAR(A36),1,5),2)+1,"")</f>
        <v>2</v>
      </c>
    </row>
    <row r="37" customFormat="false" ht="15" hidden="false" customHeight="true" outlineLevel="0" collapsed="false">
      <c r="A37" s="10" t="n">
        <v>46034</v>
      </c>
      <c r="B37" s="11" t="s">
        <v>101</v>
      </c>
      <c r="C37" s="11" t="s">
        <v>51</v>
      </c>
      <c r="D37" s="11" t="s">
        <v>102</v>
      </c>
      <c r="E37" s="11" t="s">
        <v>103</v>
      </c>
      <c r="F37" s="11" t="s">
        <v>54</v>
      </c>
      <c r="G37" s="12" t="n">
        <v>1</v>
      </c>
      <c r="H37" s="12" t="n">
        <v>18900</v>
      </c>
      <c r="I37" s="11" t="s">
        <v>55</v>
      </c>
      <c r="J37" s="11" t="s">
        <v>56</v>
      </c>
      <c r="K37" s="11"/>
      <c r="L37" s="13" t="n">
        <f aca="false">IFERROR(WEEKNUM(A37,2)-WEEKNUM(DATE(YEAR(A37),1,5),2)+1,"")</f>
        <v>2</v>
      </c>
    </row>
    <row r="38" customFormat="false" ht="15" hidden="false" customHeight="true" outlineLevel="0" collapsed="false">
      <c r="A38" s="10" t="n">
        <v>46041</v>
      </c>
      <c r="B38" s="11" t="s">
        <v>104</v>
      </c>
      <c r="C38" s="11" t="s">
        <v>95</v>
      </c>
      <c r="D38" s="11" t="s">
        <v>99</v>
      </c>
      <c r="E38" s="11" t="s">
        <v>97</v>
      </c>
      <c r="F38" s="11" t="s">
        <v>54</v>
      </c>
      <c r="G38" s="12" t="n">
        <v>1</v>
      </c>
      <c r="H38" s="12" t="n">
        <v>8700</v>
      </c>
      <c r="I38" s="11" t="s">
        <v>55</v>
      </c>
      <c r="J38" s="11" t="s">
        <v>56</v>
      </c>
      <c r="K38" s="11"/>
      <c r="L38" s="13" t="n">
        <f aca="false">IFERROR(WEEKNUM(A38,2)-WEEKNUM(DATE(YEAR(A38),1,5),2)+1,"")</f>
        <v>3</v>
      </c>
    </row>
    <row r="39" customFormat="false" ht="15" hidden="false" customHeight="true" outlineLevel="0" collapsed="false">
      <c r="A39" s="10" t="n">
        <v>46041</v>
      </c>
      <c r="B39" s="11" t="s">
        <v>105</v>
      </c>
      <c r="C39" s="11" t="s">
        <v>51</v>
      </c>
      <c r="D39" s="11" t="s">
        <v>102</v>
      </c>
      <c r="E39" s="11" t="s">
        <v>103</v>
      </c>
      <c r="F39" s="11" t="s">
        <v>54</v>
      </c>
      <c r="G39" s="12" t="n">
        <v>1</v>
      </c>
      <c r="H39" s="12" t="n">
        <v>21400</v>
      </c>
      <c r="I39" s="11" t="s">
        <v>55</v>
      </c>
      <c r="J39" s="11" t="s">
        <v>56</v>
      </c>
      <c r="K39" s="11"/>
      <c r="L39" s="13" t="n">
        <f aca="false">IFERROR(WEEKNUM(A39,2)-WEEKNUM(DATE(YEAR(A39),1,5),2)+1,"")</f>
        <v>3</v>
      </c>
    </row>
    <row r="40" customFormat="false" ht="15" hidden="false" customHeight="true" outlineLevel="0" collapsed="false">
      <c r="A40" s="10" t="n">
        <v>46048</v>
      </c>
      <c r="B40" s="11" t="s">
        <v>106</v>
      </c>
      <c r="C40" s="11" t="s">
        <v>95</v>
      </c>
      <c r="D40" s="11" t="s">
        <v>96</v>
      </c>
      <c r="E40" s="11" t="s">
        <v>97</v>
      </c>
      <c r="F40" s="11" t="s">
        <v>54</v>
      </c>
      <c r="G40" s="12" t="n">
        <v>1</v>
      </c>
      <c r="H40" s="12" t="n">
        <v>13100</v>
      </c>
      <c r="I40" s="11" t="s">
        <v>55</v>
      </c>
      <c r="J40" s="11" t="s">
        <v>56</v>
      </c>
      <c r="K40" s="11"/>
      <c r="L40" s="13" t="n">
        <f aca="false">IFERROR(WEEKNUM(A40,2)-WEEKNUM(DATE(YEAR(A40),1,5),2)+1,"")</f>
        <v>4</v>
      </c>
    </row>
    <row r="41" customFormat="false" ht="15" hidden="false" customHeight="true" outlineLevel="0" collapsed="false">
      <c r="A41" s="10" t="n">
        <v>46055</v>
      </c>
      <c r="B41" s="11" t="s">
        <v>107</v>
      </c>
      <c r="C41" s="11" t="s">
        <v>95</v>
      </c>
      <c r="D41" s="11" t="s">
        <v>99</v>
      </c>
      <c r="E41" s="11" t="s">
        <v>97</v>
      </c>
      <c r="F41" s="11" t="s">
        <v>54</v>
      </c>
      <c r="G41" s="12" t="n">
        <v>1</v>
      </c>
      <c r="H41" s="12" t="n">
        <v>10300</v>
      </c>
      <c r="I41" s="11" t="s">
        <v>55</v>
      </c>
      <c r="J41" s="11" t="s">
        <v>56</v>
      </c>
      <c r="K41" s="11"/>
      <c r="L41" s="13" t="n">
        <f aca="false">IFERROR(WEEKNUM(A41,2)-WEEKNUM(DATE(YEAR(A41),1,5),2)+1,"")</f>
        <v>5</v>
      </c>
    </row>
    <row r="42" customFormat="false" ht="15" hidden="false" customHeight="true" outlineLevel="0" collapsed="false">
      <c r="A42" s="10" t="n">
        <v>46055</v>
      </c>
      <c r="B42" s="11" t="s">
        <v>108</v>
      </c>
      <c r="C42" s="11" t="s">
        <v>51</v>
      </c>
      <c r="D42" s="11" t="s">
        <v>102</v>
      </c>
      <c r="E42" s="11" t="s">
        <v>103</v>
      </c>
      <c r="F42" s="11" t="s">
        <v>54</v>
      </c>
      <c r="G42" s="12" t="n">
        <v>1</v>
      </c>
      <c r="H42" s="12" t="n">
        <v>19800</v>
      </c>
      <c r="I42" s="11" t="s">
        <v>55</v>
      </c>
      <c r="J42" s="11" t="s">
        <v>56</v>
      </c>
      <c r="K42" s="11"/>
      <c r="L42" s="13" t="n">
        <f aca="false">IFERROR(WEEKNUM(A42,2)-WEEKNUM(DATE(YEAR(A42),1,5),2)+1,"")</f>
        <v>5</v>
      </c>
    </row>
    <row r="43" customFormat="false" ht="15" hidden="false" customHeight="true" outlineLevel="0" collapsed="false">
      <c r="A43" s="10" t="n">
        <v>46062</v>
      </c>
      <c r="B43" s="11" t="s">
        <v>109</v>
      </c>
      <c r="C43" s="11" t="s">
        <v>95</v>
      </c>
      <c r="D43" s="11" t="s">
        <v>96</v>
      </c>
      <c r="E43" s="11" t="s">
        <v>97</v>
      </c>
      <c r="F43" s="11" t="s">
        <v>54</v>
      </c>
      <c r="G43" s="12" t="n">
        <v>1</v>
      </c>
      <c r="H43" s="12" t="n">
        <v>14200</v>
      </c>
      <c r="I43" s="11" t="s">
        <v>55</v>
      </c>
      <c r="J43" s="11" t="s">
        <v>56</v>
      </c>
      <c r="K43" s="11"/>
      <c r="L43" s="13" t="n">
        <f aca="false">IFERROR(WEEKNUM(A43,2)-WEEKNUM(DATE(YEAR(A43),1,5),2)+1,"")</f>
        <v>6</v>
      </c>
    </row>
    <row r="44" customFormat="false" ht="15" hidden="false" customHeight="true" outlineLevel="0" collapsed="false">
      <c r="A44" s="10" t="n">
        <v>46069</v>
      </c>
      <c r="B44" s="11" t="s">
        <v>110</v>
      </c>
      <c r="C44" s="11" t="s">
        <v>95</v>
      </c>
      <c r="D44" s="11" t="s">
        <v>99</v>
      </c>
      <c r="E44" s="11" t="s">
        <v>97</v>
      </c>
      <c r="F44" s="11" t="s">
        <v>54</v>
      </c>
      <c r="G44" s="12" t="n">
        <v>1</v>
      </c>
      <c r="H44" s="12" t="n">
        <v>11500</v>
      </c>
      <c r="I44" s="11" t="s">
        <v>55</v>
      </c>
      <c r="J44" s="11" t="s">
        <v>56</v>
      </c>
      <c r="K44" s="11"/>
      <c r="L44" s="13" t="n">
        <f aca="false">IFERROR(WEEKNUM(A44,2)-WEEKNUM(DATE(YEAR(A44),1,5),2)+1,"")</f>
        <v>7</v>
      </c>
    </row>
    <row r="45" customFormat="false" ht="15" hidden="false" customHeight="true" outlineLevel="0" collapsed="false">
      <c r="A45" s="10" t="n">
        <v>46069</v>
      </c>
      <c r="B45" s="11" t="s">
        <v>111</v>
      </c>
      <c r="C45" s="11" t="s">
        <v>51</v>
      </c>
      <c r="D45" s="11" t="s">
        <v>102</v>
      </c>
      <c r="E45" s="11" t="s">
        <v>103</v>
      </c>
      <c r="F45" s="11" t="s">
        <v>54</v>
      </c>
      <c r="G45" s="12" t="n">
        <v>1</v>
      </c>
      <c r="H45" s="12" t="n">
        <v>22100</v>
      </c>
      <c r="I45" s="11" t="s">
        <v>55</v>
      </c>
      <c r="J45" s="11" t="s">
        <v>56</v>
      </c>
      <c r="K45" s="11"/>
      <c r="L45" s="13" t="n">
        <f aca="false">IFERROR(WEEKNUM(A45,2)-WEEKNUM(DATE(YEAR(A45),1,5),2)+1,"")</f>
        <v>7</v>
      </c>
    </row>
    <row r="46" customFormat="false" ht="15" hidden="false" customHeight="true" outlineLevel="0" collapsed="false">
      <c r="A46" s="10" t="n">
        <v>46076</v>
      </c>
      <c r="B46" s="11" t="s">
        <v>112</v>
      </c>
      <c r="C46" s="11" t="s">
        <v>95</v>
      </c>
      <c r="D46" s="11" t="s">
        <v>96</v>
      </c>
      <c r="E46" s="11" t="s">
        <v>97</v>
      </c>
      <c r="F46" s="11" t="s">
        <v>54</v>
      </c>
      <c r="G46" s="12" t="n">
        <v>1</v>
      </c>
      <c r="H46" s="12" t="n">
        <v>13600</v>
      </c>
      <c r="I46" s="11" t="s">
        <v>55</v>
      </c>
      <c r="J46" s="11" t="s">
        <v>56</v>
      </c>
      <c r="K46" s="11"/>
      <c r="L46" s="13" t="n">
        <f aca="false">IFERROR(WEEKNUM(A46,2)-WEEKNUM(DATE(YEAR(A46),1,5),2)+1,"")</f>
        <v>8</v>
      </c>
    </row>
    <row r="47" customFormat="false" ht="15" hidden="false" customHeight="true" outlineLevel="0" collapsed="false">
      <c r="A47" s="10" t="n">
        <v>46083</v>
      </c>
      <c r="B47" s="11" t="s">
        <v>113</v>
      </c>
      <c r="C47" s="11" t="s">
        <v>95</v>
      </c>
      <c r="D47" s="11" t="s">
        <v>99</v>
      </c>
      <c r="E47" s="11" t="s">
        <v>97</v>
      </c>
      <c r="F47" s="11" t="s">
        <v>54</v>
      </c>
      <c r="G47" s="12" t="n">
        <v>1</v>
      </c>
      <c r="H47" s="12" t="n">
        <v>10800</v>
      </c>
      <c r="I47" s="11" t="s">
        <v>55</v>
      </c>
      <c r="J47" s="11" t="s">
        <v>56</v>
      </c>
      <c r="K47" s="11"/>
      <c r="L47" s="13" t="n">
        <f aca="false">IFERROR(WEEKNUM(A47,2)-WEEKNUM(DATE(YEAR(A47),1,5),2)+1,"")</f>
        <v>9</v>
      </c>
    </row>
    <row r="48" customFormat="false" ht="15" hidden="false" customHeight="true" outlineLevel="0" collapsed="false">
      <c r="A48" s="10" t="n">
        <v>46090</v>
      </c>
      <c r="B48" s="11" t="s">
        <v>114</v>
      </c>
      <c r="C48" s="11" t="s">
        <v>95</v>
      </c>
      <c r="D48" s="11" t="s">
        <v>96</v>
      </c>
      <c r="E48" s="11" t="s">
        <v>97</v>
      </c>
      <c r="F48" s="11" t="s">
        <v>54</v>
      </c>
      <c r="G48" s="12" t="n">
        <v>1</v>
      </c>
      <c r="H48" s="12" t="n">
        <v>14900</v>
      </c>
      <c r="I48" s="11" t="s">
        <v>55</v>
      </c>
      <c r="J48" s="11" t="s">
        <v>56</v>
      </c>
      <c r="K48" s="11"/>
      <c r="L48" s="13" t="n">
        <f aca="false">IFERROR(WEEKNUM(A48,2)-WEEKNUM(DATE(YEAR(A48),1,5),2)+1,"")</f>
        <v>10</v>
      </c>
    </row>
    <row r="49" customFormat="false" ht="15" hidden="false" customHeight="true" outlineLevel="0" collapsed="false">
      <c r="A49" s="10" t="n">
        <v>46104</v>
      </c>
      <c r="B49" s="11" t="s">
        <v>115</v>
      </c>
      <c r="C49" s="11" t="s">
        <v>51</v>
      </c>
      <c r="D49" s="11" t="s">
        <v>102</v>
      </c>
      <c r="E49" s="11" t="s">
        <v>103</v>
      </c>
      <c r="F49" s="11" t="s">
        <v>54</v>
      </c>
      <c r="G49" s="12" t="n">
        <v>1</v>
      </c>
      <c r="H49" s="12" t="n">
        <v>20400</v>
      </c>
      <c r="I49" s="11" t="s">
        <v>55</v>
      </c>
      <c r="J49" s="11" t="s">
        <v>56</v>
      </c>
      <c r="K49" s="11"/>
      <c r="L49" s="13" t="n">
        <f aca="false">IFERROR(WEEKNUM(A49,2)-WEEKNUM(DATE(YEAR(A49),1,5),2)+1,"")</f>
        <v>12</v>
      </c>
    </row>
    <row r="50" customFormat="false" ht="15" hidden="false" customHeight="true" outlineLevel="0" collapsed="false">
      <c r="A50" s="10" t="n">
        <v>46111</v>
      </c>
      <c r="B50" s="11" t="s">
        <v>116</v>
      </c>
      <c r="C50" s="11" t="s">
        <v>51</v>
      </c>
      <c r="D50" s="11" t="s">
        <v>52</v>
      </c>
      <c r="E50" s="11" t="s">
        <v>53</v>
      </c>
      <c r="F50" s="11" t="s">
        <v>54</v>
      </c>
      <c r="G50" s="12" t="n">
        <v>1</v>
      </c>
      <c r="H50" s="12" t="n">
        <v>167400</v>
      </c>
      <c r="I50" s="11" t="s">
        <v>55</v>
      </c>
      <c r="J50" s="11" t="s">
        <v>56</v>
      </c>
      <c r="K50" s="11"/>
      <c r="L50" s="13" t="n">
        <f aca="false">IFERROR(WEEKNUM(A50,2)-WEEKNUM(DATE(YEAR(A50),1,5),2)+1,"")</f>
        <v>13</v>
      </c>
    </row>
    <row r="51" customFormat="false" ht="15" hidden="false" customHeight="true" outlineLevel="0" collapsed="false">
      <c r="A51" s="10" t="n">
        <v>46111</v>
      </c>
      <c r="B51" s="11" t="s">
        <v>117</v>
      </c>
      <c r="C51" s="11" t="s">
        <v>51</v>
      </c>
      <c r="D51" s="11" t="s">
        <v>70</v>
      </c>
      <c r="E51" s="11" t="s">
        <v>71</v>
      </c>
      <c r="F51" s="11" t="s">
        <v>54</v>
      </c>
      <c r="G51" s="12" t="n">
        <v>1</v>
      </c>
      <c r="H51" s="12" t="n">
        <v>44200</v>
      </c>
      <c r="I51" s="11" t="s">
        <v>55</v>
      </c>
      <c r="J51" s="11" t="s">
        <v>56</v>
      </c>
      <c r="K51" s="11"/>
      <c r="L51" s="13" t="n">
        <f aca="false">IFERROR(WEEKNUM(A51,2)-WEEKNUM(DATE(YEAR(A51),1,5),2)+1,"")</f>
        <v>13</v>
      </c>
    </row>
    <row r="52" customFormat="false" ht="15" hidden="false" customHeight="true" outlineLevel="0" collapsed="false">
      <c r="A52" s="10" t="n">
        <v>46111</v>
      </c>
      <c r="B52" s="11" t="s">
        <v>118</v>
      </c>
      <c r="C52" s="11" t="s">
        <v>51</v>
      </c>
      <c r="D52" s="11" t="s">
        <v>73</v>
      </c>
      <c r="E52" s="11" t="s">
        <v>71</v>
      </c>
      <c r="F52" s="11" t="s">
        <v>54</v>
      </c>
      <c r="G52" s="12" t="n">
        <v>1</v>
      </c>
      <c r="H52" s="12" t="n">
        <v>66800</v>
      </c>
      <c r="I52" s="11" t="s">
        <v>55</v>
      </c>
      <c r="J52" s="11" t="s">
        <v>56</v>
      </c>
      <c r="K52" s="11"/>
      <c r="L52" s="13" t="n">
        <f aca="false">IFERROR(WEEKNUM(A52,2)-WEEKNUM(DATE(YEAR(A52),1,5),2)+1,"")</f>
        <v>13</v>
      </c>
    </row>
    <row r="53" customFormat="false" ht="15" hidden="false" customHeight="true" outlineLevel="0" collapsed="false">
      <c r="A53" s="10" t="n">
        <v>46111</v>
      </c>
      <c r="B53" s="11" t="s">
        <v>119</v>
      </c>
      <c r="C53" s="11" t="s">
        <v>95</v>
      </c>
      <c r="D53" s="11" t="s">
        <v>96</v>
      </c>
      <c r="E53" s="11" t="s">
        <v>97</v>
      </c>
      <c r="F53" s="11" t="s">
        <v>54</v>
      </c>
      <c r="G53" s="12" t="n">
        <v>1</v>
      </c>
      <c r="H53" s="12" t="n">
        <v>11800</v>
      </c>
      <c r="I53" s="11" t="s">
        <v>55</v>
      </c>
      <c r="J53" s="11" t="s">
        <v>56</v>
      </c>
      <c r="K53" s="11"/>
      <c r="L53" s="13" t="n">
        <f aca="false">IFERROR(WEEKNUM(A53,2)-WEEKNUM(DATE(YEAR(A53),1,5),2)+1,"")</f>
        <v>13</v>
      </c>
    </row>
    <row r="54" customFormat="false" ht="15" hidden="false" customHeight="true" outlineLevel="0" collapsed="false">
      <c r="A54" s="10" t="n">
        <v>46118</v>
      </c>
      <c r="B54" s="11" t="s">
        <v>120</v>
      </c>
      <c r="C54" s="11" t="s">
        <v>51</v>
      </c>
      <c r="D54" s="11" t="s">
        <v>58</v>
      </c>
      <c r="E54" s="11" t="s">
        <v>53</v>
      </c>
      <c r="F54" s="11" t="s">
        <v>54</v>
      </c>
      <c r="G54" s="12" t="n">
        <v>1</v>
      </c>
      <c r="H54" s="12" t="n">
        <v>218000</v>
      </c>
      <c r="I54" s="11" t="s">
        <v>55</v>
      </c>
      <c r="J54" s="11" t="s">
        <v>56</v>
      </c>
      <c r="K54" s="11"/>
      <c r="L54" s="13" t="n">
        <f aca="false">IFERROR(WEEKNUM(A54,2)-WEEKNUM(DATE(YEAR(A54),1,5),2)+1,"")</f>
        <v>14</v>
      </c>
    </row>
    <row r="55" customFormat="false" ht="15" hidden="false" customHeight="true" outlineLevel="0" collapsed="false">
      <c r="A55" s="10" t="n">
        <v>46118</v>
      </c>
      <c r="B55" s="11" t="s">
        <v>121</v>
      </c>
      <c r="C55" s="11" t="s">
        <v>51</v>
      </c>
      <c r="D55" s="11" t="s">
        <v>75</v>
      </c>
      <c r="E55" s="11" t="s">
        <v>71</v>
      </c>
      <c r="F55" s="11" t="s">
        <v>54</v>
      </c>
      <c r="G55" s="12" t="n">
        <v>1</v>
      </c>
      <c r="H55" s="12" t="n">
        <v>41500</v>
      </c>
      <c r="I55" s="11" t="s">
        <v>55</v>
      </c>
      <c r="J55" s="11" t="s">
        <v>56</v>
      </c>
      <c r="K55" s="11"/>
      <c r="L55" s="13" t="n">
        <f aca="false">IFERROR(WEEKNUM(A55,2)-WEEKNUM(DATE(YEAR(A55),1,5),2)+1,"")</f>
        <v>14</v>
      </c>
    </row>
    <row r="56" customFormat="false" ht="15" hidden="false" customHeight="true" outlineLevel="0" collapsed="false">
      <c r="A56" s="10" t="n">
        <v>46118</v>
      </c>
      <c r="B56" s="11" t="s">
        <v>122</v>
      </c>
      <c r="C56" s="11" t="s">
        <v>95</v>
      </c>
      <c r="D56" s="11" t="s">
        <v>99</v>
      </c>
      <c r="E56" s="11" t="s">
        <v>97</v>
      </c>
      <c r="F56" s="11" t="s">
        <v>54</v>
      </c>
      <c r="G56" s="12" t="n">
        <v>1</v>
      </c>
      <c r="H56" s="12" t="n">
        <v>14200</v>
      </c>
      <c r="I56" s="11" t="s">
        <v>55</v>
      </c>
      <c r="J56" s="11" t="s">
        <v>56</v>
      </c>
      <c r="K56" s="11"/>
      <c r="L56" s="13" t="n">
        <f aca="false">IFERROR(WEEKNUM(A56,2)-WEEKNUM(DATE(YEAR(A56),1,5),2)+1,"")</f>
        <v>14</v>
      </c>
    </row>
    <row r="57" customFormat="false" ht="15" hidden="false" customHeight="true" outlineLevel="0" collapsed="false">
      <c r="A57" s="10" t="n">
        <v>46125</v>
      </c>
      <c r="B57" s="11" t="s">
        <v>123</v>
      </c>
      <c r="C57" s="11" t="s">
        <v>51</v>
      </c>
      <c r="D57" s="11" t="s">
        <v>77</v>
      </c>
      <c r="E57" s="11" t="s">
        <v>71</v>
      </c>
      <c r="F57" s="11" t="s">
        <v>54</v>
      </c>
      <c r="G57" s="12" t="n">
        <v>1</v>
      </c>
      <c r="H57" s="12" t="n">
        <v>62400</v>
      </c>
      <c r="I57" s="11" t="s">
        <v>55</v>
      </c>
      <c r="J57" s="11" t="s">
        <v>56</v>
      </c>
      <c r="K57" s="11"/>
      <c r="L57" s="13" t="n">
        <f aca="false">IFERROR(WEEKNUM(A57,2)-WEEKNUM(DATE(YEAR(A57),1,5),2)+1,"")</f>
        <v>15</v>
      </c>
    </row>
    <row r="58" customFormat="false" ht="15" hidden="false" customHeight="true" outlineLevel="0" collapsed="false">
      <c r="A58" s="10" t="n">
        <v>46125</v>
      </c>
      <c r="B58" s="11" t="s">
        <v>124</v>
      </c>
      <c r="C58" s="11" t="s">
        <v>95</v>
      </c>
      <c r="D58" s="11" t="s">
        <v>96</v>
      </c>
      <c r="E58" s="11" t="s">
        <v>97</v>
      </c>
      <c r="F58" s="11" t="s">
        <v>54</v>
      </c>
      <c r="G58" s="12" t="n">
        <v>1</v>
      </c>
      <c r="H58" s="12" t="n">
        <v>9600</v>
      </c>
      <c r="I58" s="11" t="s">
        <v>55</v>
      </c>
      <c r="J58" s="11" t="s">
        <v>56</v>
      </c>
      <c r="K58" s="11"/>
      <c r="L58" s="13" t="n">
        <f aca="false">IFERROR(WEEKNUM(A58,2)-WEEKNUM(DATE(YEAR(A58),1,5),2)+1,"")</f>
        <v>15</v>
      </c>
    </row>
    <row r="59" customFormat="false" ht="15" hidden="false" customHeight="true" outlineLevel="0" collapsed="false">
      <c r="A59" s="10" t="n">
        <v>46132</v>
      </c>
      <c r="B59" s="11" t="s">
        <v>125</v>
      </c>
      <c r="C59" s="11" t="s">
        <v>51</v>
      </c>
      <c r="D59" s="11" t="s">
        <v>70</v>
      </c>
      <c r="E59" s="11" t="s">
        <v>71</v>
      </c>
      <c r="F59" s="11" t="s">
        <v>54</v>
      </c>
      <c r="G59" s="12" t="n">
        <v>1</v>
      </c>
      <c r="H59" s="12" t="n">
        <v>47900</v>
      </c>
      <c r="I59" s="11" t="s">
        <v>55</v>
      </c>
      <c r="J59" s="11" t="s">
        <v>56</v>
      </c>
      <c r="K59" s="11"/>
      <c r="L59" s="13" t="n">
        <f aca="false">IFERROR(WEEKNUM(A59,2)-WEEKNUM(DATE(YEAR(A59),1,5),2)+1,"")</f>
        <v>16</v>
      </c>
    </row>
    <row r="60" customFormat="false" ht="15" hidden="false" customHeight="true" outlineLevel="0" collapsed="false">
      <c r="A60" s="10" t="n">
        <v>46132</v>
      </c>
      <c r="B60" s="11" t="s">
        <v>126</v>
      </c>
      <c r="C60" s="11" t="s">
        <v>51</v>
      </c>
      <c r="D60" s="11" t="s">
        <v>102</v>
      </c>
      <c r="E60" s="11" t="s">
        <v>103</v>
      </c>
      <c r="F60" s="11" t="s">
        <v>54</v>
      </c>
      <c r="G60" s="12" t="n">
        <v>1</v>
      </c>
      <c r="H60" s="12" t="n">
        <v>12400</v>
      </c>
      <c r="I60" s="11" t="s">
        <v>55</v>
      </c>
      <c r="J60" s="11" t="s">
        <v>56</v>
      </c>
      <c r="K60" s="11"/>
      <c r="L60" s="13" t="n">
        <f aca="false">IFERROR(WEEKNUM(A60,2)-WEEKNUM(DATE(YEAR(A60),1,5),2)+1,"")</f>
        <v>16</v>
      </c>
    </row>
    <row r="61" customFormat="false" ht="15" hidden="false" customHeight="true" outlineLevel="0" collapsed="false">
      <c r="A61" s="10" t="n">
        <v>46139</v>
      </c>
      <c r="B61" s="11" t="s">
        <v>127</v>
      </c>
      <c r="C61" s="11" t="s">
        <v>51</v>
      </c>
      <c r="D61" s="11" t="s">
        <v>52</v>
      </c>
      <c r="E61" s="11" t="s">
        <v>53</v>
      </c>
      <c r="F61" s="11" t="s">
        <v>54</v>
      </c>
      <c r="G61" s="12" t="n">
        <v>1</v>
      </c>
      <c r="H61" s="12" t="n">
        <v>159800</v>
      </c>
      <c r="I61" s="11" t="s">
        <v>55</v>
      </c>
      <c r="J61" s="11" t="s">
        <v>56</v>
      </c>
      <c r="K61" s="11"/>
      <c r="L61" s="13" t="n">
        <f aca="false">IFERROR(WEEKNUM(A61,2)-WEEKNUM(DATE(YEAR(A61),1,5),2)+1,"")</f>
        <v>17</v>
      </c>
    </row>
    <row r="62" customFormat="false" ht="15" hidden="false" customHeight="true" outlineLevel="0" collapsed="false">
      <c r="A62" s="10" t="n">
        <v>46139</v>
      </c>
      <c r="B62" s="11" t="s">
        <v>128</v>
      </c>
      <c r="C62" s="11" t="s">
        <v>51</v>
      </c>
      <c r="D62" s="11" t="s">
        <v>73</v>
      </c>
      <c r="E62" s="11" t="s">
        <v>71</v>
      </c>
      <c r="F62" s="11" t="s">
        <v>54</v>
      </c>
      <c r="G62" s="12" t="n">
        <v>1</v>
      </c>
      <c r="H62" s="12" t="n">
        <v>69200</v>
      </c>
      <c r="I62" s="11" t="s">
        <v>55</v>
      </c>
      <c r="J62" s="11" t="s">
        <v>56</v>
      </c>
      <c r="K62" s="11"/>
      <c r="L62" s="13" t="n">
        <f aca="false">IFERROR(WEEKNUM(A62,2)-WEEKNUM(DATE(YEAR(A62),1,5),2)+1,"")</f>
        <v>17</v>
      </c>
    </row>
    <row r="63" customFormat="false" ht="15" hidden="false" customHeight="true" outlineLevel="0" collapsed="false">
      <c r="A63" s="10" t="n">
        <v>46139</v>
      </c>
      <c r="B63" s="11" t="s">
        <v>129</v>
      </c>
      <c r="C63" s="11" t="s">
        <v>95</v>
      </c>
      <c r="D63" s="11" t="s">
        <v>96</v>
      </c>
      <c r="E63" s="11" t="s">
        <v>97</v>
      </c>
      <c r="F63" s="11" t="s">
        <v>54</v>
      </c>
      <c r="G63" s="12" t="n">
        <v>1</v>
      </c>
      <c r="H63" s="12" t="n">
        <v>10800</v>
      </c>
      <c r="I63" s="11" t="s">
        <v>55</v>
      </c>
      <c r="J63" s="11" t="s">
        <v>56</v>
      </c>
      <c r="K63" s="11"/>
      <c r="L63" s="13" t="n">
        <f aca="false">IFERROR(WEEKNUM(A63,2)-WEEKNUM(DATE(YEAR(A63),1,5),2)+1,"")</f>
        <v>17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3" min="1" style="1" width="13"/>
    <col collapsed="false" customWidth="true" hidden="false" outlineLevel="0" max="4" min="4" style="1" width="30"/>
    <col collapsed="false" customWidth="true" hidden="false" outlineLevel="0" max="5" min="5" style="1" width="26"/>
    <col collapsed="false" customWidth="true" hidden="false" outlineLevel="0" max="7" min="6" style="1" width="9"/>
    <col collapsed="false" customWidth="true" hidden="false" outlineLevel="0" max="8" min="8" style="1" width="15"/>
    <col collapsed="false" customWidth="true" hidden="false" outlineLevel="0" max="9" min="9" style="1" width="10"/>
    <col collapsed="false" customWidth="true" hidden="false" outlineLevel="0" max="10" min="10" style="1" width="24"/>
    <col collapsed="false" customWidth="true" hidden="false" outlineLevel="0" max="11" min="11" style="1" width="22"/>
    <col collapsed="false" customWidth="true" hidden="false" outlineLevel="0" max="12" min="12" style="1" width="9"/>
  </cols>
  <sheetData>
    <row r="1" customFormat="false" ht="16.5" hidden="false" customHeight="true" outlineLevel="0" collapsed="false">
      <c r="A1" s="9" t="s">
        <v>38</v>
      </c>
      <c r="B1" s="9" t="s">
        <v>39</v>
      </c>
      <c r="C1" s="9" t="s">
        <v>40</v>
      </c>
      <c r="D1" s="9" t="s">
        <v>130</v>
      </c>
      <c r="E1" s="9" t="s">
        <v>42</v>
      </c>
      <c r="F1" s="9" t="s">
        <v>43</v>
      </c>
      <c r="G1" s="9" t="s">
        <v>44</v>
      </c>
      <c r="H1" s="9" t="s">
        <v>45</v>
      </c>
      <c r="I1" s="9" t="s">
        <v>46</v>
      </c>
      <c r="J1" s="9" t="s">
        <v>47</v>
      </c>
      <c r="K1" s="9" t="s">
        <v>48</v>
      </c>
      <c r="L1" s="9" t="s">
        <v>49</v>
      </c>
    </row>
    <row r="2" customFormat="false" ht="15" hidden="false" customHeight="true" outlineLevel="0" collapsed="false">
      <c r="A2" s="10" t="n">
        <v>46027</v>
      </c>
      <c r="B2" s="11" t="s">
        <v>131</v>
      </c>
      <c r="C2" s="11" t="s">
        <v>132</v>
      </c>
      <c r="D2" s="11" t="s">
        <v>133</v>
      </c>
      <c r="E2" s="11" t="s">
        <v>134</v>
      </c>
      <c r="F2" s="11" t="s">
        <v>54</v>
      </c>
      <c r="G2" s="12" t="n">
        <v>1</v>
      </c>
      <c r="H2" s="12" t="n">
        <v>82500</v>
      </c>
      <c r="I2" s="11" t="s">
        <v>55</v>
      </c>
      <c r="J2" s="11" t="s">
        <v>56</v>
      </c>
      <c r="K2" s="11"/>
      <c r="L2" s="13" t="n">
        <f aca="false">IFERROR(WEEKNUM(A2,2)-WEEKNUM(DATE(YEAR(A2),1,5),2)+1,"")</f>
        <v>1</v>
      </c>
    </row>
    <row r="3" customFormat="false" ht="15" hidden="false" customHeight="true" outlineLevel="0" collapsed="false">
      <c r="A3" s="10" t="n">
        <v>46041</v>
      </c>
      <c r="B3" s="11" t="s">
        <v>135</v>
      </c>
      <c r="C3" s="11" t="s">
        <v>132</v>
      </c>
      <c r="D3" s="11" t="s">
        <v>133</v>
      </c>
      <c r="E3" s="11" t="s">
        <v>134</v>
      </c>
      <c r="F3" s="11" t="s">
        <v>54</v>
      </c>
      <c r="G3" s="12" t="n">
        <v>1</v>
      </c>
      <c r="H3" s="12" t="n">
        <v>82500</v>
      </c>
      <c r="I3" s="11" t="s">
        <v>55</v>
      </c>
      <c r="J3" s="11" t="s">
        <v>56</v>
      </c>
      <c r="K3" s="11"/>
      <c r="L3" s="13" t="n">
        <f aca="false">IFERROR(WEEKNUM(A3,2)-WEEKNUM(DATE(YEAR(A3),1,5),2)+1,"")</f>
        <v>3</v>
      </c>
    </row>
    <row r="4" customFormat="false" ht="15" hidden="false" customHeight="true" outlineLevel="0" collapsed="false">
      <c r="A4" s="10" t="n">
        <v>46055</v>
      </c>
      <c r="B4" s="11" t="s">
        <v>136</v>
      </c>
      <c r="C4" s="11" t="s">
        <v>132</v>
      </c>
      <c r="D4" s="11" t="s">
        <v>133</v>
      </c>
      <c r="E4" s="11" t="s">
        <v>134</v>
      </c>
      <c r="F4" s="11" t="s">
        <v>54</v>
      </c>
      <c r="G4" s="12" t="n">
        <v>1</v>
      </c>
      <c r="H4" s="12" t="n">
        <v>82500</v>
      </c>
      <c r="I4" s="11" t="s">
        <v>55</v>
      </c>
      <c r="J4" s="11" t="s">
        <v>56</v>
      </c>
      <c r="K4" s="11"/>
      <c r="L4" s="13" t="n">
        <f aca="false">IFERROR(WEEKNUM(A4,2)-WEEKNUM(DATE(YEAR(A4),1,5),2)+1,"")</f>
        <v>5</v>
      </c>
    </row>
    <row r="5" customFormat="false" ht="15" hidden="false" customHeight="true" outlineLevel="0" collapsed="false">
      <c r="A5" s="10" t="n">
        <v>46069</v>
      </c>
      <c r="B5" s="11" t="s">
        <v>137</v>
      </c>
      <c r="C5" s="11" t="s">
        <v>132</v>
      </c>
      <c r="D5" s="11" t="s">
        <v>133</v>
      </c>
      <c r="E5" s="11" t="s">
        <v>134</v>
      </c>
      <c r="F5" s="11" t="s">
        <v>54</v>
      </c>
      <c r="G5" s="12" t="n">
        <v>1</v>
      </c>
      <c r="H5" s="12" t="n">
        <v>82500</v>
      </c>
      <c r="I5" s="11" t="s">
        <v>55</v>
      </c>
      <c r="J5" s="11" t="s">
        <v>56</v>
      </c>
      <c r="K5" s="11"/>
      <c r="L5" s="13" t="n">
        <f aca="false">IFERROR(WEEKNUM(A5,2)-WEEKNUM(DATE(YEAR(A5),1,5),2)+1,"")</f>
        <v>7</v>
      </c>
    </row>
    <row r="6" customFormat="false" ht="15" hidden="false" customHeight="true" outlineLevel="0" collapsed="false">
      <c r="A6" s="10" t="n">
        <v>46083</v>
      </c>
      <c r="B6" s="11" t="s">
        <v>138</v>
      </c>
      <c r="C6" s="11" t="s">
        <v>132</v>
      </c>
      <c r="D6" s="11" t="s">
        <v>133</v>
      </c>
      <c r="E6" s="11" t="s">
        <v>134</v>
      </c>
      <c r="F6" s="11" t="s">
        <v>54</v>
      </c>
      <c r="G6" s="12" t="n">
        <v>1</v>
      </c>
      <c r="H6" s="12" t="n">
        <v>82500</v>
      </c>
      <c r="I6" s="11" t="s">
        <v>55</v>
      </c>
      <c r="J6" s="11" t="s">
        <v>56</v>
      </c>
      <c r="K6" s="11"/>
      <c r="L6" s="13" t="n">
        <f aca="false">IFERROR(WEEKNUM(A6,2)-WEEKNUM(DATE(YEAR(A6),1,5),2)+1,"")</f>
        <v>9</v>
      </c>
    </row>
    <row r="7" customFormat="false" ht="15" hidden="false" customHeight="true" outlineLevel="0" collapsed="false">
      <c r="A7" s="10" t="n">
        <v>46097</v>
      </c>
      <c r="B7" s="11" t="s">
        <v>139</v>
      </c>
      <c r="C7" s="11" t="s">
        <v>132</v>
      </c>
      <c r="D7" s="11" t="s">
        <v>133</v>
      </c>
      <c r="E7" s="11" t="s">
        <v>134</v>
      </c>
      <c r="F7" s="11" t="s">
        <v>54</v>
      </c>
      <c r="G7" s="12" t="n">
        <v>1</v>
      </c>
      <c r="H7" s="12" t="n">
        <v>82500</v>
      </c>
      <c r="I7" s="11" t="s">
        <v>55</v>
      </c>
      <c r="J7" s="11" t="s">
        <v>56</v>
      </c>
      <c r="K7" s="11"/>
      <c r="L7" s="13" t="n">
        <f aca="false">IFERROR(WEEKNUM(A7,2)-WEEKNUM(DATE(YEAR(A7),1,5),2)+1,"")</f>
        <v>11</v>
      </c>
    </row>
    <row r="8" customFormat="false" ht="15" hidden="false" customHeight="true" outlineLevel="0" collapsed="false">
      <c r="A8" s="10" t="n">
        <v>46027</v>
      </c>
      <c r="B8" s="11" t="s">
        <v>140</v>
      </c>
      <c r="C8" s="11" t="s">
        <v>132</v>
      </c>
      <c r="D8" s="11" t="s">
        <v>141</v>
      </c>
      <c r="E8" s="11" t="s">
        <v>142</v>
      </c>
      <c r="F8" s="11" t="s">
        <v>54</v>
      </c>
      <c r="G8" s="12" t="n">
        <v>1</v>
      </c>
      <c r="H8" s="12" t="n">
        <v>14200</v>
      </c>
      <c r="I8" s="11" t="s">
        <v>55</v>
      </c>
      <c r="J8" s="11" t="s">
        <v>56</v>
      </c>
      <c r="K8" s="11"/>
      <c r="L8" s="13" t="n">
        <f aca="false">IFERROR(WEEKNUM(A8,2)-WEEKNUM(DATE(YEAR(A8),1,5),2)+1,"")</f>
        <v>1</v>
      </c>
    </row>
    <row r="9" customFormat="false" ht="15" hidden="false" customHeight="true" outlineLevel="0" collapsed="false">
      <c r="A9" s="10" t="n">
        <v>46055</v>
      </c>
      <c r="B9" s="11" t="s">
        <v>143</v>
      </c>
      <c r="C9" s="11" t="s">
        <v>132</v>
      </c>
      <c r="D9" s="11" t="s">
        <v>141</v>
      </c>
      <c r="E9" s="11" t="s">
        <v>142</v>
      </c>
      <c r="F9" s="11" t="s">
        <v>54</v>
      </c>
      <c r="G9" s="12" t="n">
        <v>1</v>
      </c>
      <c r="H9" s="12" t="n">
        <v>14200</v>
      </c>
      <c r="I9" s="11" t="s">
        <v>55</v>
      </c>
      <c r="J9" s="11" t="s">
        <v>56</v>
      </c>
      <c r="K9" s="11"/>
      <c r="L9" s="13" t="n">
        <f aca="false">IFERROR(WEEKNUM(A9,2)-WEEKNUM(DATE(YEAR(A9),1,5),2)+1,"")</f>
        <v>5</v>
      </c>
    </row>
    <row r="10" customFormat="false" ht="15" hidden="false" customHeight="true" outlineLevel="0" collapsed="false">
      <c r="A10" s="10" t="n">
        <v>46083</v>
      </c>
      <c r="B10" s="11" t="s">
        <v>144</v>
      </c>
      <c r="C10" s="11" t="s">
        <v>132</v>
      </c>
      <c r="D10" s="11" t="s">
        <v>141</v>
      </c>
      <c r="E10" s="11" t="s">
        <v>142</v>
      </c>
      <c r="F10" s="11" t="s">
        <v>54</v>
      </c>
      <c r="G10" s="12" t="n">
        <v>1</v>
      </c>
      <c r="H10" s="12" t="n">
        <v>14200</v>
      </c>
      <c r="I10" s="11" t="s">
        <v>55</v>
      </c>
      <c r="J10" s="11" t="s">
        <v>56</v>
      </c>
      <c r="K10" s="11"/>
      <c r="L10" s="13" t="n">
        <f aca="false">IFERROR(WEEKNUM(A10,2)-WEEKNUM(DATE(YEAR(A10),1,5),2)+1,"")</f>
        <v>9</v>
      </c>
    </row>
    <row r="11" customFormat="false" ht="15" hidden="false" customHeight="true" outlineLevel="0" collapsed="false">
      <c r="A11" s="10" t="n">
        <v>46027</v>
      </c>
      <c r="B11" s="11" t="s">
        <v>145</v>
      </c>
      <c r="C11" s="11" t="s">
        <v>132</v>
      </c>
      <c r="D11" s="11" t="s">
        <v>146</v>
      </c>
      <c r="E11" s="11" t="s">
        <v>147</v>
      </c>
      <c r="F11" s="11" t="s">
        <v>54</v>
      </c>
      <c r="G11" s="12" t="n">
        <v>1</v>
      </c>
      <c r="H11" s="12" t="n">
        <v>9800</v>
      </c>
      <c r="I11" s="11" t="s">
        <v>55</v>
      </c>
      <c r="J11" s="11" t="s">
        <v>56</v>
      </c>
      <c r="K11" s="11"/>
      <c r="L11" s="13" t="n">
        <f aca="false">IFERROR(WEEKNUM(A11,2)-WEEKNUM(DATE(YEAR(A11),1,5),2)+1,"")</f>
        <v>1</v>
      </c>
    </row>
    <row r="12" customFormat="false" ht="15" hidden="false" customHeight="true" outlineLevel="0" collapsed="false">
      <c r="A12" s="10" t="n">
        <v>46055</v>
      </c>
      <c r="B12" s="11" t="s">
        <v>148</v>
      </c>
      <c r="C12" s="11" t="s">
        <v>132</v>
      </c>
      <c r="D12" s="11" t="s">
        <v>146</v>
      </c>
      <c r="E12" s="11" t="s">
        <v>147</v>
      </c>
      <c r="F12" s="11" t="s">
        <v>54</v>
      </c>
      <c r="G12" s="12" t="n">
        <v>1</v>
      </c>
      <c r="H12" s="12" t="n">
        <v>9800</v>
      </c>
      <c r="I12" s="11" t="s">
        <v>55</v>
      </c>
      <c r="J12" s="11" t="s">
        <v>56</v>
      </c>
      <c r="K12" s="11"/>
      <c r="L12" s="13" t="n">
        <f aca="false">IFERROR(WEEKNUM(A12,2)-WEEKNUM(DATE(YEAR(A12),1,5),2)+1,"")</f>
        <v>5</v>
      </c>
    </row>
    <row r="13" customFormat="false" ht="15" hidden="false" customHeight="true" outlineLevel="0" collapsed="false">
      <c r="A13" s="10" t="n">
        <v>46083</v>
      </c>
      <c r="B13" s="11" t="s">
        <v>149</v>
      </c>
      <c r="C13" s="11" t="s">
        <v>132</v>
      </c>
      <c r="D13" s="11" t="s">
        <v>146</v>
      </c>
      <c r="E13" s="11" t="s">
        <v>147</v>
      </c>
      <c r="F13" s="11" t="s">
        <v>54</v>
      </c>
      <c r="G13" s="12" t="n">
        <v>1</v>
      </c>
      <c r="H13" s="12" t="n">
        <v>9800</v>
      </c>
      <c r="I13" s="11" t="s">
        <v>55</v>
      </c>
      <c r="J13" s="11" t="s">
        <v>56</v>
      </c>
      <c r="K13" s="11"/>
      <c r="L13" s="13" t="n">
        <f aca="false">IFERROR(WEEKNUM(A13,2)-WEEKNUM(DATE(YEAR(A13),1,5),2)+1,"")</f>
        <v>9</v>
      </c>
    </row>
    <row r="14" customFormat="false" ht="15" hidden="false" customHeight="true" outlineLevel="0" collapsed="false">
      <c r="A14" s="10" t="n">
        <v>46027</v>
      </c>
      <c r="B14" s="11" t="s">
        <v>150</v>
      </c>
      <c r="C14" s="11" t="s">
        <v>132</v>
      </c>
      <c r="D14" s="11" t="s">
        <v>151</v>
      </c>
      <c r="E14" s="11" t="s">
        <v>152</v>
      </c>
      <c r="F14" s="11" t="s">
        <v>54</v>
      </c>
      <c r="G14" s="12" t="n">
        <v>1</v>
      </c>
      <c r="H14" s="12" t="n">
        <v>18500</v>
      </c>
      <c r="I14" s="11" t="s">
        <v>55</v>
      </c>
      <c r="J14" s="11" t="s">
        <v>56</v>
      </c>
      <c r="K14" s="11"/>
      <c r="L14" s="13" t="n">
        <f aca="false">IFERROR(WEEKNUM(A14,2)-WEEKNUM(DATE(YEAR(A14),1,5),2)+1,"")</f>
        <v>1</v>
      </c>
    </row>
    <row r="15" customFormat="false" ht="15" hidden="false" customHeight="true" outlineLevel="0" collapsed="false">
      <c r="A15" s="10" t="n">
        <v>46055</v>
      </c>
      <c r="B15" s="11" t="s">
        <v>153</v>
      </c>
      <c r="C15" s="11" t="s">
        <v>132</v>
      </c>
      <c r="D15" s="11" t="s">
        <v>151</v>
      </c>
      <c r="E15" s="11" t="s">
        <v>152</v>
      </c>
      <c r="F15" s="11" t="s">
        <v>54</v>
      </c>
      <c r="G15" s="12" t="n">
        <v>1</v>
      </c>
      <c r="H15" s="12" t="n">
        <v>18500</v>
      </c>
      <c r="I15" s="11" t="s">
        <v>55</v>
      </c>
      <c r="J15" s="11" t="s">
        <v>56</v>
      </c>
      <c r="K15" s="11"/>
      <c r="L15" s="13" t="n">
        <f aca="false">IFERROR(WEEKNUM(A15,2)-WEEKNUM(DATE(YEAR(A15),1,5),2)+1,"")</f>
        <v>5</v>
      </c>
    </row>
    <row r="16" customFormat="false" ht="15" hidden="false" customHeight="true" outlineLevel="0" collapsed="false">
      <c r="A16" s="10" t="n">
        <v>46083</v>
      </c>
      <c r="B16" s="11" t="s">
        <v>154</v>
      </c>
      <c r="C16" s="11" t="s">
        <v>132</v>
      </c>
      <c r="D16" s="11" t="s">
        <v>151</v>
      </c>
      <c r="E16" s="11" t="s">
        <v>152</v>
      </c>
      <c r="F16" s="11" t="s">
        <v>54</v>
      </c>
      <c r="G16" s="12" t="n">
        <v>1</v>
      </c>
      <c r="H16" s="12" t="n">
        <v>18500</v>
      </c>
      <c r="I16" s="11" t="s">
        <v>55</v>
      </c>
      <c r="J16" s="11" t="s">
        <v>56</v>
      </c>
      <c r="K16" s="11"/>
      <c r="L16" s="13" t="n">
        <f aca="false">IFERROR(WEEKNUM(A16,2)-WEEKNUM(DATE(YEAR(A16),1,5),2)+1,"")</f>
        <v>9</v>
      </c>
    </row>
    <row r="17" customFormat="false" ht="15" hidden="false" customHeight="true" outlineLevel="0" collapsed="false">
      <c r="A17" s="10" t="n">
        <v>46027</v>
      </c>
      <c r="B17" s="11" t="s">
        <v>155</v>
      </c>
      <c r="C17" s="11" t="s">
        <v>132</v>
      </c>
      <c r="D17" s="11" t="s">
        <v>156</v>
      </c>
      <c r="E17" s="11" t="s">
        <v>157</v>
      </c>
      <c r="F17" s="11" t="s">
        <v>54</v>
      </c>
      <c r="G17" s="12" t="n">
        <v>1</v>
      </c>
      <c r="H17" s="12" t="n">
        <v>38400</v>
      </c>
      <c r="I17" s="11" t="s">
        <v>55</v>
      </c>
      <c r="J17" s="11" t="s">
        <v>56</v>
      </c>
      <c r="K17" s="11"/>
      <c r="L17" s="13" t="n">
        <f aca="false">IFERROR(WEEKNUM(A17,2)-WEEKNUM(DATE(YEAR(A17),1,5),2)+1,"")</f>
        <v>1</v>
      </c>
    </row>
    <row r="18" customFormat="false" ht="15" hidden="false" customHeight="true" outlineLevel="0" collapsed="false">
      <c r="A18" s="10" t="n">
        <v>46034</v>
      </c>
      <c r="B18" s="11" t="s">
        <v>158</v>
      </c>
      <c r="C18" s="11" t="s">
        <v>132</v>
      </c>
      <c r="D18" s="11" t="s">
        <v>156</v>
      </c>
      <c r="E18" s="11" t="s">
        <v>157</v>
      </c>
      <c r="F18" s="11" t="s">
        <v>54</v>
      </c>
      <c r="G18" s="12" t="n">
        <v>1</v>
      </c>
      <c r="H18" s="12" t="n">
        <v>41800</v>
      </c>
      <c r="I18" s="11" t="s">
        <v>55</v>
      </c>
      <c r="J18" s="11" t="s">
        <v>56</v>
      </c>
      <c r="K18" s="11"/>
      <c r="L18" s="13" t="n">
        <f aca="false">IFERROR(WEEKNUM(A18,2)-WEEKNUM(DATE(YEAR(A18),1,5),2)+1,"")</f>
        <v>2</v>
      </c>
    </row>
    <row r="19" customFormat="false" ht="15" hidden="false" customHeight="true" outlineLevel="0" collapsed="false">
      <c r="A19" s="10" t="n">
        <v>46034</v>
      </c>
      <c r="B19" s="11" t="s">
        <v>159</v>
      </c>
      <c r="C19" s="11" t="s">
        <v>132</v>
      </c>
      <c r="D19" s="11" t="s">
        <v>160</v>
      </c>
      <c r="E19" s="11" t="s">
        <v>157</v>
      </c>
      <c r="F19" s="11" t="s">
        <v>54</v>
      </c>
      <c r="G19" s="12" t="n">
        <v>1</v>
      </c>
      <c r="H19" s="12" t="n">
        <v>22300</v>
      </c>
      <c r="I19" s="11" t="s">
        <v>55</v>
      </c>
      <c r="J19" s="11" t="s">
        <v>56</v>
      </c>
      <c r="K19" s="11"/>
      <c r="L19" s="13" t="n">
        <f aca="false">IFERROR(WEEKNUM(A19,2)-WEEKNUM(DATE(YEAR(A19),1,5),2)+1,"")</f>
        <v>2</v>
      </c>
    </row>
    <row r="20" customFormat="false" ht="15" hidden="false" customHeight="true" outlineLevel="0" collapsed="false">
      <c r="A20" s="10" t="n">
        <v>46041</v>
      </c>
      <c r="B20" s="11" t="s">
        <v>161</v>
      </c>
      <c r="C20" s="11" t="s">
        <v>132</v>
      </c>
      <c r="D20" s="11" t="s">
        <v>156</v>
      </c>
      <c r="E20" s="11" t="s">
        <v>157</v>
      </c>
      <c r="F20" s="11" t="s">
        <v>54</v>
      </c>
      <c r="G20" s="12" t="n">
        <v>1</v>
      </c>
      <c r="H20" s="12" t="n">
        <v>44500</v>
      </c>
      <c r="I20" s="11" t="s">
        <v>55</v>
      </c>
      <c r="J20" s="11" t="s">
        <v>56</v>
      </c>
      <c r="K20" s="11"/>
      <c r="L20" s="13" t="n">
        <f aca="false">IFERROR(WEEKNUM(A20,2)-WEEKNUM(DATE(YEAR(A20),1,5),2)+1,"")</f>
        <v>3</v>
      </c>
    </row>
    <row r="21" customFormat="false" ht="15" hidden="false" customHeight="true" outlineLevel="0" collapsed="false">
      <c r="A21" s="10" t="n">
        <v>46041</v>
      </c>
      <c r="B21" s="11" t="s">
        <v>162</v>
      </c>
      <c r="C21" s="11" t="s">
        <v>132</v>
      </c>
      <c r="D21" s="11" t="s">
        <v>163</v>
      </c>
      <c r="E21" s="11" t="s">
        <v>157</v>
      </c>
      <c r="F21" s="11" t="s">
        <v>54</v>
      </c>
      <c r="G21" s="12" t="n">
        <v>1</v>
      </c>
      <c r="H21" s="12" t="n">
        <v>13800</v>
      </c>
      <c r="I21" s="11" t="s">
        <v>55</v>
      </c>
      <c r="J21" s="11" t="s">
        <v>56</v>
      </c>
      <c r="K21" s="11"/>
      <c r="L21" s="13" t="n">
        <f aca="false">IFERROR(WEEKNUM(A21,2)-WEEKNUM(DATE(YEAR(A21),1,5),2)+1,"")</f>
        <v>3</v>
      </c>
    </row>
    <row r="22" customFormat="false" ht="15" hidden="false" customHeight="true" outlineLevel="0" collapsed="false">
      <c r="A22" s="10" t="n">
        <v>46048</v>
      </c>
      <c r="B22" s="11" t="s">
        <v>164</v>
      </c>
      <c r="C22" s="11" t="s">
        <v>132</v>
      </c>
      <c r="D22" s="11" t="s">
        <v>156</v>
      </c>
      <c r="E22" s="11" t="s">
        <v>157</v>
      </c>
      <c r="F22" s="11" t="s">
        <v>54</v>
      </c>
      <c r="G22" s="12" t="n">
        <v>1</v>
      </c>
      <c r="H22" s="12" t="n">
        <v>39200</v>
      </c>
      <c r="I22" s="11" t="s">
        <v>55</v>
      </c>
      <c r="J22" s="11" t="s">
        <v>56</v>
      </c>
      <c r="K22" s="11"/>
      <c r="L22" s="13" t="n">
        <f aca="false">IFERROR(WEEKNUM(A22,2)-WEEKNUM(DATE(YEAR(A22),1,5),2)+1,"")</f>
        <v>4</v>
      </c>
    </row>
    <row r="23" customFormat="false" ht="15" hidden="false" customHeight="true" outlineLevel="0" collapsed="false">
      <c r="A23" s="10" t="n">
        <v>46048</v>
      </c>
      <c r="B23" s="11" t="s">
        <v>165</v>
      </c>
      <c r="C23" s="11" t="s">
        <v>132</v>
      </c>
      <c r="D23" s="11" t="s">
        <v>160</v>
      </c>
      <c r="E23" s="11" t="s">
        <v>157</v>
      </c>
      <c r="F23" s="11" t="s">
        <v>54</v>
      </c>
      <c r="G23" s="12" t="n">
        <v>1</v>
      </c>
      <c r="H23" s="12" t="n">
        <v>24100</v>
      </c>
      <c r="I23" s="11" t="s">
        <v>55</v>
      </c>
      <c r="J23" s="11" t="s">
        <v>56</v>
      </c>
      <c r="K23" s="11"/>
      <c r="L23" s="13" t="n">
        <f aca="false">IFERROR(WEEKNUM(A23,2)-WEEKNUM(DATE(YEAR(A23),1,5),2)+1,"")</f>
        <v>4</v>
      </c>
    </row>
    <row r="24" customFormat="false" ht="15" hidden="false" customHeight="true" outlineLevel="0" collapsed="false">
      <c r="A24" s="10" t="n">
        <v>46055</v>
      </c>
      <c r="B24" s="11" t="s">
        <v>166</v>
      </c>
      <c r="C24" s="11" t="s">
        <v>132</v>
      </c>
      <c r="D24" s="11" t="s">
        <v>156</v>
      </c>
      <c r="E24" s="11" t="s">
        <v>157</v>
      </c>
      <c r="F24" s="11" t="s">
        <v>54</v>
      </c>
      <c r="G24" s="12" t="n">
        <v>1</v>
      </c>
      <c r="H24" s="12" t="n">
        <v>47100</v>
      </c>
      <c r="I24" s="11" t="s">
        <v>55</v>
      </c>
      <c r="J24" s="11" t="s">
        <v>56</v>
      </c>
      <c r="K24" s="11"/>
      <c r="L24" s="13" t="n">
        <f aca="false">IFERROR(WEEKNUM(A24,2)-WEEKNUM(DATE(YEAR(A24),1,5),2)+1,"")</f>
        <v>5</v>
      </c>
    </row>
    <row r="25" customFormat="false" ht="15" hidden="false" customHeight="true" outlineLevel="0" collapsed="false">
      <c r="A25" s="10" t="n">
        <v>46055</v>
      </c>
      <c r="B25" s="11" t="s">
        <v>167</v>
      </c>
      <c r="C25" s="11" t="s">
        <v>132</v>
      </c>
      <c r="D25" s="11" t="s">
        <v>163</v>
      </c>
      <c r="E25" s="11" t="s">
        <v>157</v>
      </c>
      <c r="F25" s="11" t="s">
        <v>54</v>
      </c>
      <c r="G25" s="12" t="n">
        <v>1</v>
      </c>
      <c r="H25" s="12" t="n">
        <v>14600</v>
      </c>
      <c r="I25" s="11" t="s">
        <v>55</v>
      </c>
      <c r="J25" s="11" t="s">
        <v>56</v>
      </c>
      <c r="K25" s="11"/>
      <c r="L25" s="13" t="n">
        <f aca="false">IFERROR(WEEKNUM(A25,2)-WEEKNUM(DATE(YEAR(A25),1,5),2)+1,"")</f>
        <v>5</v>
      </c>
    </row>
    <row r="26" customFormat="false" ht="15" hidden="false" customHeight="true" outlineLevel="0" collapsed="false">
      <c r="A26" s="10" t="n">
        <v>46062</v>
      </c>
      <c r="B26" s="11" t="s">
        <v>168</v>
      </c>
      <c r="C26" s="11" t="s">
        <v>132</v>
      </c>
      <c r="D26" s="11" t="s">
        <v>156</v>
      </c>
      <c r="E26" s="11" t="s">
        <v>157</v>
      </c>
      <c r="F26" s="11" t="s">
        <v>54</v>
      </c>
      <c r="G26" s="12" t="n">
        <v>1</v>
      </c>
      <c r="H26" s="12" t="n">
        <v>43600</v>
      </c>
      <c r="I26" s="11" t="s">
        <v>55</v>
      </c>
      <c r="J26" s="11" t="s">
        <v>56</v>
      </c>
      <c r="K26" s="11"/>
      <c r="L26" s="13" t="n">
        <f aca="false">IFERROR(WEEKNUM(A26,2)-WEEKNUM(DATE(YEAR(A26),1,5),2)+1,"")</f>
        <v>6</v>
      </c>
    </row>
    <row r="27" customFormat="false" ht="15" hidden="false" customHeight="true" outlineLevel="0" collapsed="false">
      <c r="A27" s="10" t="n">
        <v>46062</v>
      </c>
      <c r="B27" s="11" t="s">
        <v>169</v>
      </c>
      <c r="C27" s="11" t="s">
        <v>132</v>
      </c>
      <c r="D27" s="11" t="s">
        <v>160</v>
      </c>
      <c r="E27" s="11" t="s">
        <v>157</v>
      </c>
      <c r="F27" s="11" t="s">
        <v>54</v>
      </c>
      <c r="G27" s="12" t="n">
        <v>1</v>
      </c>
      <c r="H27" s="12" t="n">
        <v>25800</v>
      </c>
      <c r="I27" s="11" t="s">
        <v>55</v>
      </c>
      <c r="J27" s="11" t="s">
        <v>56</v>
      </c>
      <c r="K27" s="11"/>
      <c r="L27" s="13" t="n">
        <f aca="false">IFERROR(WEEKNUM(A27,2)-WEEKNUM(DATE(YEAR(A27),1,5),2)+1,"")</f>
        <v>6</v>
      </c>
    </row>
    <row r="28" customFormat="false" ht="15" hidden="false" customHeight="true" outlineLevel="0" collapsed="false">
      <c r="A28" s="10" t="n">
        <v>46069</v>
      </c>
      <c r="B28" s="11" t="s">
        <v>170</v>
      </c>
      <c r="C28" s="11" t="s">
        <v>132</v>
      </c>
      <c r="D28" s="11" t="s">
        <v>156</v>
      </c>
      <c r="E28" s="11" t="s">
        <v>157</v>
      </c>
      <c r="F28" s="11" t="s">
        <v>54</v>
      </c>
      <c r="G28" s="12" t="n">
        <v>1</v>
      </c>
      <c r="H28" s="12" t="n">
        <v>49800</v>
      </c>
      <c r="I28" s="11" t="s">
        <v>55</v>
      </c>
      <c r="J28" s="11" t="s">
        <v>56</v>
      </c>
      <c r="K28" s="11"/>
      <c r="L28" s="13" t="n">
        <f aca="false">IFERROR(WEEKNUM(A28,2)-WEEKNUM(DATE(YEAR(A28),1,5),2)+1,"")</f>
        <v>7</v>
      </c>
    </row>
    <row r="29" customFormat="false" ht="15" hidden="false" customHeight="true" outlineLevel="0" collapsed="false">
      <c r="A29" s="10" t="n">
        <v>46069</v>
      </c>
      <c r="B29" s="11" t="s">
        <v>171</v>
      </c>
      <c r="C29" s="11" t="s">
        <v>132</v>
      </c>
      <c r="D29" s="11" t="s">
        <v>163</v>
      </c>
      <c r="E29" s="11" t="s">
        <v>157</v>
      </c>
      <c r="F29" s="11" t="s">
        <v>54</v>
      </c>
      <c r="G29" s="12" t="n">
        <v>1</v>
      </c>
      <c r="H29" s="12" t="n">
        <v>15300</v>
      </c>
      <c r="I29" s="11" t="s">
        <v>55</v>
      </c>
      <c r="J29" s="11" t="s">
        <v>56</v>
      </c>
      <c r="K29" s="11"/>
      <c r="L29" s="13" t="n">
        <f aca="false">IFERROR(WEEKNUM(A29,2)-WEEKNUM(DATE(YEAR(A29),1,5),2)+1,"")</f>
        <v>7</v>
      </c>
    </row>
    <row r="30" customFormat="false" ht="15" hidden="false" customHeight="true" outlineLevel="0" collapsed="false">
      <c r="A30" s="10" t="n">
        <v>46076</v>
      </c>
      <c r="B30" s="11" t="s">
        <v>172</v>
      </c>
      <c r="C30" s="11" t="s">
        <v>132</v>
      </c>
      <c r="D30" s="11" t="s">
        <v>156</v>
      </c>
      <c r="E30" s="11" t="s">
        <v>157</v>
      </c>
      <c r="F30" s="11" t="s">
        <v>54</v>
      </c>
      <c r="G30" s="12" t="n">
        <v>1</v>
      </c>
      <c r="H30" s="12" t="n">
        <v>42900</v>
      </c>
      <c r="I30" s="11" t="s">
        <v>55</v>
      </c>
      <c r="J30" s="11" t="s">
        <v>56</v>
      </c>
      <c r="K30" s="11"/>
      <c r="L30" s="13" t="n">
        <f aca="false">IFERROR(WEEKNUM(A30,2)-WEEKNUM(DATE(YEAR(A30),1,5),2)+1,"")</f>
        <v>8</v>
      </c>
    </row>
    <row r="31" customFormat="false" ht="15" hidden="false" customHeight="true" outlineLevel="0" collapsed="false">
      <c r="A31" s="10" t="n">
        <v>46076</v>
      </c>
      <c r="B31" s="11" t="s">
        <v>173</v>
      </c>
      <c r="C31" s="11" t="s">
        <v>132</v>
      </c>
      <c r="D31" s="11" t="s">
        <v>160</v>
      </c>
      <c r="E31" s="11" t="s">
        <v>157</v>
      </c>
      <c r="F31" s="11" t="s">
        <v>54</v>
      </c>
      <c r="G31" s="12" t="n">
        <v>1</v>
      </c>
      <c r="H31" s="12" t="n">
        <v>23500</v>
      </c>
      <c r="I31" s="11" t="s">
        <v>55</v>
      </c>
      <c r="J31" s="11" t="s">
        <v>56</v>
      </c>
      <c r="K31" s="11"/>
      <c r="L31" s="13" t="n">
        <f aca="false">IFERROR(WEEKNUM(A31,2)-WEEKNUM(DATE(YEAR(A31),1,5),2)+1,"")</f>
        <v>8</v>
      </c>
    </row>
    <row r="32" customFormat="false" ht="15" hidden="false" customHeight="true" outlineLevel="0" collapsed="false">
      <c r="A32" s="10" t="n">
        <v>46083</v>
      </c>
      <c r="B32" s="11" t="s">
        <v>174</v>
      </c>
      <c r="C32" s="11" t="s">
        <v>132</v>
      </c>
      <c r="D32" s="11" t="s">
        <v>156</v>
      </c>
      <c r="E32" s="11" t="s">
        <v>157</v>
      </c>
      <c r="F32" s="11" t="s">
        <v>54</v>
      </c>
      <c r="G32" s="12" t="n">
        <v>1</v>
      </c>
      <c r="H32" s="12" t="n">
        <v>51200</v>
      </c>
      <c r="I32" s="11" t="s">
        <v>55</v>
      </c>
      <c r="J32" s="11" t="s">
        <v>56</v>
      </c>
      <c r="K32" s="11"/>
      <c r="L32" s="13" t="n">
        <f aca="false">IFERROR(WEEKNUM(A32,2)-WEEKNUM(DATE(YEAR(A32),1,5),2)+1,"")</f>
        <v>9</v>
      </c>
    </row>
    <row r="33" customFormat="false" ht="15" hidden="false" customHeight="true" outlineLevel="0" collapsed="false">
      <c r="A33" s="10" t="n">
        <v>46083</v>
      </c>
      <c r="B33" s="11" t="s">
        <v>175</v>
      </c>
      <c r="C33" s="11" t="s">
        <v>132</v>
      </c>
      <c r="D33" s="11" t="s">
        <v>163</v>
      </c>
      <c r="E33" s="11" t="s">
        <v>157</v>
      </c>
      <c r="F33" s="11" t="s">
        <v>54</v>
      </c>
      <c r="G33" s="12" t="n">
        <v>1</v>
      </c>
      <c r="H33" s="12" t="n">
        <v>16100</v>
      </c>
      <c r="I33" s="11" t="s">
        <v>55</v>
      </c>
      <c r="J33" s="11" t="s">
        <v>56</v>
      </c>
      <c r="K33" s="11"/>
      <c r="L33" s="13" t="n">
        <f aca="false">IFERROR(WEEKNUM(A33,2)-WEEKNUM(DATE(YEAR(A33),1,5),2)+1,"")</f>
        <v>9</v>
      </c>
    </row>
    <row r="34" customFormat="false" ht="15" hidden="false" customHeight="true" outlineLevel="0" collapsed="false">
      <c r="A34" s="10" t="n">
        <v>46090</v>
      </c>
      <c r="B34" s="11" t="s">
        <v>176</v>
      </c>
      <c r="C34" s="11" t="s">
        <v>132</v>
      </c>
      <c r="D34" s="11" t="s">
        <v>156</v>
      </c>
      <c r="E34" s="11" t="s">
        <v>157</v>
      </c>
      <c r="F34" s="11" t="s">
        <v>54</v>
      </c>
      <c r="G34" s="12" t="n">
        <v>1</v>
      </c>
      <c r="H34" s="12" t="n">
        <v>46300</v>
      </c>
      <c r="I34" s="11" t="s">
        <v>55</v>
      </c>
      <c r="J34" s="11" t="s">
        <v>56</v>
      </c>
      <c r="K34" s="11"/>
      <c r="L34" s="13" t="n">
        <f aca="false">IFERROR(WEEKNUM(A34,2)-WEEKNUM(DATE(YEAR(A34),1,5),2)+1,"")</f>
        <v>10</v>
      </c>
    </row>
    <row r="35" customFormat="false" ht="15" hidden="false" customHeight="true" outlineLevel="0" collapsed="false">
      <c r="A35" s="10" t="n">
        <v>46090</v>
      </c>
      <c r="B35" s="11" t="s">
        <v>177</v>
      </c>
      <c r="C35" s="11" t="s">
        <v>132</v>
      </c>
      <c r="D35" s="11" t="s">
        <v>160</v>
      </c>
      <c r="E35" s="11" t="s">
        <v>157</v>
      </c>
      <c r="F35" s="11" t="s">
        <v>54</v>
      </c>
      <c r="G35" s="12" t="n">
        <v>1</v>
      </c>
      <c r="H35" s="12" t="n">
        <v>27100</v>
      </c>
      <c r="I35" s="11" t="s">
        <v>55</v>
      </c>
      <c r="J35" s="11" t="s">
        <v>56</v>
      </c>
      <c r="K35" s="11"/>
      <c r="L35" s="13" t="n">
        <f aca="false">IFERROR(WEEKNUM(A35,2)-WEEKNUM(DATE(YEAR(A35),1,5),2)+1,"")</f>
        <v>10</v>
      </c>
    </row>
    <row r="36" customFormat="false" ht="15" hidden="false" customHeight="true" outlineLevel="0" collapsed="false">
      <c r="A36" s="10" t="n">
        <v>46097</v>
      </c>
      <c r="B36" s="11" t="s">
        <v>178</v>
      </c>
      <c r="C36" s="11" t="s">
        <v>132</v>
      </c>
      <c r="D36" s="11" t="s">
        <v>156</v>
      </c>
      <c r="E36" s="11" t="s">
        <v>157</v>
      </c>
      <c r="F36" s="11" t="s">
        <v>54</v>
      </c>
      <c r="G36" s="12" t="n">
        <v>1</v>
      </c>
      <c r="H36" s="12" t="n">
        <v>53400</v>
      </c>
      <c r="I36" s="11" t="s">
        <v>55</v>
      </c>
      <c r="J36" s="11" t="s">
        <v>56</v>
      </c>
      <c r="K36" s="11"/>
      <c r="L36" s="13" t="n">
        <f aca="false">IFERROR(WEEKNUM(A36,2)-WEEKNUM(DATE(YEAR(A36),1,5),2)+1,"")</f>
        <v>11</v>
      </c>
    </row>
    <row r="37" customFormat="false" ht="15" hidden="false" customHeight="true" outlineLevel="0" collapsed="false">
      <c r="A37" s="10" t="n">
        <v>46097</v>
      </c>
      <c r="B37" s="11" t="s">
        <v>179</v>
      </c>
      <c r="C37" s="11" t="s">
        <v>132</v>
      </c>
      <c r="D37" s="11" t="s">
        <v>163</v>
      </c>
      <c r="E37" s="11" t="s">
        <v>157</v>
      </c>
      <c r="F37" s="11" t="s">
        <v>54</v>
      </c>
      <c r="G37" s="12" t="n">
        <v>1</v>
      </c>
      <c r="H37" s="12" t="n">
        <v>17200</v>
      </c>
      <c r="I37" s="11" t="s">
        <v>55</v>
      </c>
      <c r="J37" s="11" t="s">
        <v>56</v>
      </c>
      <c r="K37" s="11"/>
      <c r="L37" s="13" t="n">
        <f aca="false">IFERROR(WEEKNUM(A37,2)-WEEKNUM(DATE(YEAR(A37),1,5),2)+1,"")</f>
        <v>11</v>
      </c>
    </row>
    <row r="38" customFormat="false" ht="15" hidden="false" customHeight="true" outlineLevel="0" collapsed="false">
      <c r="A38" s="10" t="n">
        <v>46104</v>
      </c>
      <c r="B38" s="11" t="s">
        <v>180</v>
      </c>
      <c r="C38" s="11" t="s">
        <v>132</v>
      </c>
      <c r="D38" s="11" t="s">
        <v>156</v>
      </c>
      <c r="E38" s="11" t="s">
        <v>157</v>
      </c>
      <c r="F38" s="11" t="s">
        <v>54</v>
      </c>
      <c r="G38" s="12" t="n">
        <v>1</v>
      </c>
      <c r="H38" s="12" t="n">
        <v>55800</v>
      </c>
      <c r="I38" s="11" t="s">
        <v>55</v>
      </c>
      <c r="J38" s="11" t="s">
        <v>56</v>
      </c>
      <c r="K38" s="11"/>
      <c r="L38" s="13" t="n">
        <f aca="false">IFERROR(WEEKNUM(A38,2)-WEEKNUM(DATE(YEAR(A38),1,5),2)+1,"")</f>
        <v>12</v>
      </c>
    </row>
    <row r="39" customFormat="false" ht="15" hidden="false" customHeight="true" outlineLevel="0" collapsed="false">
      <c r="A39" s="10" t="n">
        <v>46104</v>
      </c>
      <c r="B39" s="11" t="s">
        <v>181</v>
      </c>
      <c r="C39" s="11" t="s">
        <v>132</v>
      </c>
      <c r="D39" s="11" t="s">
        <v>160</v>
      </c>
      <c r="E39" s="11" t="s">
        <v>157</v>
      </c>
      <c r="F39" s="11" t="s">
        <v>54</v>
      </c>
      <c r="G39" s="12" t="n">
        <v>1</v>
      </c>
      <c r="H39" s="12" t="n">
        <v>28900</v>
      </c>
      <c r="I39" s="11" t="s">
        <v>55</v>
      </c>
      <c r="J39" s="11" t="s">
        <v>56</v>
      </c>
      <c r="K39" s="11"/>
      <c r="L39" s="13" t="n">
        <f aca="false">IFERROR(WEEKNUM(A39,2)-WEEKNUM(DATE(YEAR(A39),1,5),2)+1,"")</f>
        <v>12</v>
      </c>
    </row>
    <row r="40" customFormat="false" ht="15" hidden="false" customHeight="true" outlineLevel="0" collapsed="false">
      <c r="A40" s="10" t="n">
        <v>46027</v>
      </c>
      <c r="B40" s="11" t="s">
        <v>182</v>
      </c>
      <c r="C40" s="11" t="s">
        <v>132</v>
      </c>
      <c r="D40" s="11" t="s">
        <v>183</v>
      </c>
      <c r="E40" s="11" t="s">
        <v>184</v>
      </c>
      <c r="F40" s="11" t="s">
        <v>54</v>
      </c>
      <c r="G40" s="12" t="n">
        <v>1</v>
      </c>
      <c r="H40" s="12" t="n">
        <v>8700</v>
      </c>
      <c r="I40" s="11" t="s">
        <v>55</v>
      </c>
      <c r="J40" s="11" t="s">
        <v>56</v>
      </c>
      <c r="K40" s="11"/>
      <c r="L40" s="13" t="n">
        <f aca="false">IFERROR(WEEKNUM(A40,2)-WEEKNUM(DATE(YEAR(A40),1,5),2)+1,"")</f>
        <v>1</v>
      </c>
    </row>
    <row r="41" customFormat="false" ht="15" hidden="false" customHeight="true" outlineLevel="0" collapsed="false">
      <c r="A41" s="10" t="n">
        <v>46055</v>
      </c>
      <c r="B41" s="11" t="s">
        <v>185</v>
      </c>
      <c r="C41" s="11" t="s">
        <v>132</v>
      </c>
      <c r="D41" s="11" t="s">
        <v>183</v>
      </c>
      <c r="E41" s="11" t="s">
        <v>184</v>
      </c>
      <c r="F41" s="11" t="s">
        <v>54</v>
      </c>
      <c r="G41" s="12" t="n">
        <v>1</v>
      </c>
      <c r="H41" s="12" t="n">
        <v>8700</v>
      </c>
      <c r="I41" s="11" t="s">
        <v>55</v>
      </c>
      <c r="J41" s="11" t="s">
        <v>56</v>
      </c>
      <c r="K41" s="11"/>
      <c r="L41" s="13" t="n">
        <f aca="false">IFERROR(WEEKNUM(A41,2)-WEEKNUM(DATE(YEAR(A41),1,5),2)+1,"")</f>
        <v>5</v>
      </c>
    </row>
    <row r="42" customFormat="false" ht="15" hidden="false" customHeight="true" outlineLevel="0" collapsed="false">
      <c r="A42" s="10" t="n">
        <v>46083</v>
      </c>
      <c r="B42" s="11" t="s">
        <v>186</v>
      </c>
      <c r="C42" s="11" t="s">
        <v>132</v>
      </c>
      <c r="D42" s="11" t="s">
        <v>183</v>
      </c>
      <c r="E42" s="11" t="s">
        <v>184</v>
      </c>
      <c r="F42" s="11" t="s">
        <v>54</v>
      </c>
      <c r="G42" s="12" t="n">
        <v>1</v>
      </c>
      <c r="H42" s="12" t="n">
        <v>8700</v>
      </c>
      <c r="I42" s="11" t="s">
        <v>55</v>
      </c>
      <c r="J42" s="11" t="s">
        <v>56</v>
      </c>
      <c r="K42" s="11"/>
      <c r="L42" s="13" t="n">
        <f aca="false">IFERROR(WEEKNUM(A42,2)-WEEKNUM(DATE(YEAR(A42),1,5),2)+1,"")</f>
        <v>9</v>
      </c>
    </row>
    <row r="43" customFormat="false" ht="15" hidden="false" customHeight="true" outlineLevel="0" collapsed="false">
      <c r="A43" s="10" t="n">
        <v>46034</v>
      </c>
      <c r="B43" s="11" t="s">
        <v>187</v>
      </c>
      <c r="C43" s="11" t="s">
        <v>132</v>
      </c>
      <c r="D43" s="11" t="s">
        <v>188</v>
      </c>
      <c r="E43" s="11" t="s">
        <v>189</v>
      </c>
      <c r="F43" s="11" t="s">
        <v>54</v>
      </c>
      <c r="G43" s="12" t="n">
        <v>1</v>
      </c>
      <c r="H43" s="12" t="n">
        <v>11500</v>
      </c>
      <c r="I43" s="11" t="s">
        <v>55</v>
      </c>
      <c r="J43" s="11" t="s">
        <v>56</v>
      </c>
      <c r="K43" s="11"/>
      <c r="L43" s="13" t="n">
        <f aca="false">IFERROR(WEEKNUM(A43,2)-WEEKNUM(DATE(YEAR(A43),1,5),2)+1,"")</f>
        <v>2</v>
      </c>
    </row>
    <row r="44" customFormat="false" ht="15" hidden="false" customHeight="true" outlineLevel="0" collapsed="false">
      <c r="A44" s="10" t="n">
        <v>46062</v>
      </c>
      <c r="B44" s="11" t="s">
        <v>190</v>
      </c>
      <c r="C44" s="11" t="s">
        <v>132</v>
      </c>
      <c r="D44" s="11" t="s">
        <v>188</v>
      </c>
      <c r="E44" s="11" t="s">
        <v>189</v>
      </c>
      <c r="F44" s="11" t="s">
        <v>54</v>
      </c>
      <c r="G44" s="12" t="n">
        <v>1</v>
      </c>
      <c r="H44" s="12" t="n">
        <v>12200</v>
      </c>
      <c r="I44" s="11" t="s">
        <v>55</v>
      </c>
      <c r="J44" s="11" t="s">
        <v>56</v>
      </c>
      <c r="K44" s="11"/>
      <c r="L44" s="13" t="n">
        <f aca="false">IFERROR(WEEKNUM(A44,2)-WEEKNUM(DATE(YEAR(A44),1,5),2)+1,"")</f>
        <v>6</v>
      </c>
    </row>
    <row r="45" customFormat="false" ht="15" hidden="false" customHeight="true" outlineLevel="0" collapsed="false">
      <c r="A45" s="10" t="n">
        <v>46090</v>
      </c>
      <c r="B45" s="11" t="s">
        <v>191</v>
      </c>
      <c r="C45" s="11" t="s">
        <v>132</v>
      </c>
      <c r="D45" s="11" t="s">
        <v>188</v>
      </c>
      <c r="E45" s="11" t="s">
        <v>189</v>
      </c>
      <c r="F45" s="11" t="s">
        <v>54</v>
      </c>
      <c r="G45" s="12" t="n">
        <v>1</v>
      </c>
      <c r="H45" s="12" t="n">
        <v>11800</v>
      </c>
      <c r="I45" s="11" t="s">
        <v>55</v>
      </c>
      <c r="J45" s="11" t="s">
        <v>56</v>
      </c>
      <c r="K45" s="11"/>
      <c r="L45" s="13" t="n">
        <f aca="false">IFERROR(WEEKNUM(A45,2)-WEEKNUM(DATE(YEAR(A45),1,5),2)+1,"")</f>
        <v>10</v>
      </c>
    </row>
    <row r="46" customFormat="false" ht="15" hidden="false" customHeight="true" outlineLevel="0" collapsed="false">
      <c r="A46" s="10" t="n">
        <v>46041</v>
      </c>
      <c r="B46" s="11" t="s">
        <v>192</v>
      </c>
      <c r="C46" s="11" t="s">
        <v>132</v>
      </c>
      <c r="D46" s="11" t="s">
        <v>193</v>
      </c>
      <c r="E46" s="11" t="s">
        <v>194</v>
      </c>
      <c r="F46" s="11" t="s">
        <v>54</v>
      </c>
      <c r="G46" s="12" t="n">
        <v>1</v>
      </c>
      <c r="H46" s="12" t="n">
        <v>14200</v>
      </c>
      <c r="I46" s="11" t="s">
        <v>55</v>
      </c>
      <c r="J46" s="11" t="s">
        <v>56</v>
      </c>
      <c r="K46" s="11"/>
      <c r="L46" s="13" t="n">
        <f aca="false">IFERROR(WEEKNUM(A46,2)-WEEKNUM(DATE(YEAR(A46),1,5),2)+1,"")</f>
        <v>3</v>
      </c>
    </row>
    <row r="47" customFormat="false" ht="15" hidden="false" customHeight="true" outlineLevel="0" collapsed="false">
      <c r="A47" s="10" t="n">
        <v>46069</v>
      </c>
      <c r="B47" s="11" t="s">
        <v>195</v>
      </c>
      <c r="C47" s="11" t="s">
        <v>132</v>
      </c>
      <c r="D47" s="11" t="s">
        <v>193</v>
      </c>
      <c r="E47" s="11" t="s">
        <v>194</v>
      </c>
      <c r="F47" s="11" t="s">
        <v>54</v>
      </c>
      <c r="G47" s="12" t="n">
        <v>1</v>
      </c>
      <c r="H47" s="12" t="n">
        <v>14200</v>
      </c>
      <c r="I47" s="11" t="s">
        <v>55</v>
      </c>
      <c r="J47" s="11" t="s">
        <v>56</v>
      </c>
      <c r="K47" s="11"/>
      <c r="L47" s="13" t="n">
        <f aca="false">IFERROR(WEEKNUM(A47,2)-WEEKNUM(DATE(YEAR(A47),1,5),2)+1,"")</f>
        <v>7</v>
      </c>
    </row>
    <row r="48" customFormat="false" ht="15" hidden="false" customHeight="true" outlineLevel="0" collapsed="false">
      <c r="A48" s="10" t="n">
        <v>46097</v>
      </c>
      <c r="B48" s="11" t="s">
        <v>196</v>
      </c>
      <c r="C48" s="11" t="s">
        <v>132</v>
      </c>
      <c r="D48" s="11" t="s">
        <v>193</v>
      </c>
      <c r="E48" s="11" t="s">
        <v>194</v>
      </c>
      <c r="F48" s="11" t="s">
        <v>54</v>
      </c>
      <c r="G48" s="12" t="n">
        <v>1</v>
      </c>
      <c r="H48" s="12" t="n">
        <v>14200</v>
      </c>
      <c r="I48" s="11" t="s">
        <v>55</v>
      </c>
      <c r="J48" s="11" t="s">
        <v>56</v>
      </c>
      <c r="K48" s="11"/>
      <c r="L48" s="13" t="n">
        <f aca="false">IFERROR(WEEKNUM(A48,2)-WEEKNUM(DATE(YEAR(A48),1,5),2)+1,"")</f>
        <v>11</v>
      </c>
    </row>
    <row r="49" customFormat="false" ht="15" hidden="false" customHeight="true" outlineLevel="0" collapsed="false">
      <c r="A49" s="10" t="n">
        <v>46027</v>
      </c>
      <c r="B49" s="11" t="s">
        <v>197</v>
      </c>
      <c r="C49" s="11" t="s">
        <v>132</v>
      </c>
      <c r="D49" s="11" t="s">
        <v>198</v>
      </c>
      <c r="E49" s="11" t="s">
        <v>199</v>
      </c>
      <c r="F49" s="11" t="s">
        <v>54</v>
      </c>
      <c r="G49" s="12" t="n">
        <v>1</v>
      </c>
      <c r="H49" s="12" t="n">
        <v>15200</v>
      </c>
      <c r="I49" s="11" t="s">
        <v>55</v>
      </c>
      <c r="J49" s="11" t="s">
        <v>56</v>
      </c>
      <c r="K49" s="11"/>
      <c r="L49" s="13" t="n">
        <f aca="false">IFERROR(WEEKNUM(A49,2)-WEEKNUM(DATE(YEAR(A49),1,5),2)+1,"")</f>
        <v>1</v>
      </c>
    </row>
    <row r="50" customFormat="false" ht="15" hidden="false" customHeight="true" outlineLevel="0" collapsed="false">
      <c r="A50" s="10" t="n">
        <v>46034</v>
      </c>
      <c r="B50" s="11" t="s">
        <v>200</v>
      </c>
      <c r="C50" s="11" t="s">
        <v>132</v>
      </c>
      <c r="D50" s="11" t="s">
        <v>198</v>
      </c>
      <c r="E50" s="11" t="s">
        <v>199</v>
      </c>
      <c r="F50" s="11" t="s">
        <v>54</v>
      </c>
      <c r="G50" s="12" t="n">
        <v>1</v>
      </c>
      <c r="H50" s="12" t="n">
        <v>16800</v>
      </c>
      <c r="I50" s="11" t="s">
        <v>55</v>
      </c>
      <c r="J50" s="11" t="s">
        <v>56</v>
      </c>
      <c r="K50" s="11"/>
      <c r="L50" s="13" t="n">
        <f aca="false">IFERROR(WEEKNUM(A50,2)-WEEKNUM(DATE(YEAR(A50),1,5),2)+1,"")</f>
        <v>2</v>
      </c>
    </row>
    <row r="51" customFormat="false" ht="15" hidden="false" customHeight="true" outlineLevel="0" collapsed="false">
      <c r="A51" s="10" t="n">
        <v>46041</v>
      </c>
      <c r="B51" s="11" t="s">
        <v>201</v>
      </c>
      <c r="C51" s="11" t="s">
        <v>132</v>
      </c>
      <c r="D51" s="11" t="s">
        <v>198</v>
      </c>
      <c r="E51" s="11" t="s">
        <v>199</v>
      </c>
      <c r="F51" s="11" t="s">
        <v>54</v>
      </c>
      <c r="G51" s="12" t="n">
        <v>1</v>
      </c>
      <c r="H51" s="12" t="n">
        <v>17900</v>
      </c>
      <c r="I51" s="11" t="s">
        <v>55</v>
      </c>
      <c r="J51" s="11" t="s">
        <v>56</v>
      </c>
      <c r="K51" s="11"/>
      <c r="L51" s="13" t="n">
        <f aca="false">IFERROR(WEEKNUM(A51,2)-WEEKNUM(DATE(YEAR(A51),1,5),2)+1,"")</f>
        <v>3</v>
      </c>
    </row>
    <row r="52" customFormat="false" ht="15" hidden="false" customHeight="true" outlineLevel="0" collapsed="false">
      <c r="A52" s="10" t="n">
        <v>46048</v>
      </c>
      <c r="B52" s="11" t="s">
        <v>202</v>
      </c>
      <c r="C52" s="11" t="s">
        <v>132</v>
      </c>
      <c r="D52" s="11" t="s">
        <v>198</v>
      </c>
      <c r="E52" s="11" t="s">
        <v>199</v>
      </c>
      <c r="F52" s="11" t="s">
        <v>54</v>
      </c>
      <c r="G52" s="12" t="n">
        <v>1</v>
      </c>
      <c r="H52" s="12" t="n">
        <v>15500</v>
      </c>
      <c r="I52" s="11" t="s">
        <v>55</v>
      </c>
      <c r="J52" s="11" t="s">
        <v>56</v>
      </c>
      <c r="K52" s="11"/>
      <c r="L52" s="13" t="n">
        <f aca="false">IFERROR(WEEKNUM(A52,2)-WEEKNUM(DATE(YEAR(A52),1,5),2)+1,"")</f>
        <v>4</v>
      </c>
    </row>
    <row r="53" customFormat="false" ht="15" hidden="false" customHeight="true" outlineLevel="0" collapsed="false">
      <c r="A53" s="10" t="n">
        <v>46055</v>
      </c>
      <c r="B53" s="11" t="s">
        <v>203</v>
      </c>
      <c r="C53" s="11" t="s">
        <v>132</v>
      </c>
      <c r="D53" s="11" t="s">
        <v>198</v>
      </c>
      <c r="E53" s="11" t="s">
        <v>199</v>
      </c>
      <c r="F53" s="11" t="s">
        <v>54</v>
      </c>
      <c r="G53" s="12" t="n">
        <v>1</v>
      </c>
      <c r="H53" s="12" t="n">
        <v>18400</v>
      </c>
      <c r="I53" s="11" t="s">
        <v>55</v>
      </c>
      <c r="J53" s="11" t="s">
        <v>56</v>
      </c>
      <c r="K53" s="11"/>
      <c r="L53" s="13" t="n">
        <f aca="false">IFERROR(WEEKNUM(A53,2)-WEEKNUM(DATE(YEAR(A53),1,5),2)+1,"")</f>
        <v>5</v>
      </c>
    </row>
    <row r="54" customFormat="false" ht="15" hidden="false" customHeight="true" outlineLevel="0" collapsed="false">
      <c r="A54" s="10" t="n">
        <v>46062</v>
      </c>
      <c r="B54" s="11" t="s">
        <v>204</v>
      </c>
      <c r="C54" s="11" t="s">
        <v>132</v>
      </c>
      <c r="D54" s="11" t="s">
        <v>198</v>
      </c>
      <c r="E54" s="11" t="s">
        <v>199</v>
      </c>
      <c r="F54" s="11" t="s">
        <v>54</v>
      </c>
      <c r="G54" s="12" t="n">
        <v>1</v>
      </c>
      <c r="H54" s="12" t="n">
        <v>16100</v>
      </c>
      <c r="I54" s="11" t="s">
        <v>55</v>
      </c>
      <c r="J54" s="11" t="s">
        <v>56</v>
      </c>
      <c r="K54" s="11"/>
      <c r="L54" s="13" t="n">
        <f aca="false">IFERROR(WEEKNUM(A54,2)-WEEKNUM(DATE(YEAR(A54),1,5),2)+1,"")</f>
        <v>6</v>
      </c>
    </row>
    <row r="55" customFormat="false" ht="15" hidden="false" customHeight="true" outlineLevel="0" collapsed="false">
      <c r="A55" s="10" t="n">
        <v>46069</v>
      </c>
      <c r="B55" s="11" t="s">
        <v>205</v>
      </c>
      <c r="C55" s="11" t="s">
        <v>132</v>
      </c>
      <c r="D55" s="11" t="s">
        <v>198</v>
      </c>
      <c r="E55" s="11" t="s">
        <v>199</v>
      </c>
      <c r="F55" s="11" t="s">
        <v>54</v>
      </c>
      <c r="G55" s="12" t="n">
        <v>1</v>
      </c>
      <c r="H55" s="12" t="n">
        <v>17200</v>
      </c>
      <c r="I55" s="11" t="s">
        <v>55</v>
      </c>
      <c r="J55" s="11" t="s">
        <v>56</v>
      </c>
      <c r="K55" s="11"/>
      <c r="L55" s="13" t="n">
        <f aca="false">IFERROR(WEEKNUM(A55,2)-WEEKNUM(DATE(YEAR(A55),1,5),2)+1,"")</f>
        <v>7</v>
      </c>
    </row>
    <row r="56" customFormat="false" ht="15" hidden="false" customHeight="true" outlineLevel="0" collapsed="false">
      <c r="A56" s="10" t="n">
        <v>46076</v>
      </c>
      <c r="B56" s="11" t="s">
        <v>206</v>
      </c>
      <c r="C56" s="11" t="s">
        <v>132</v>
      </c>
      <c r="D56" s="11" t="s">
        <v>198</v>
      </c>
      <c r="E56" s="11" t="s">
        <v>199</v>
      </c>
      <c r="F56" s="11" t="s">
        <v>54</v>
      </c>
      <c r="G56" s="12" t="n">
        <v>1</v>
      </c>
      <c r="H56" s="12" t="n">
        <v>16700</v>
      </c>
      <c r="I56" s="11" t="s">
        <v>55</v>
      </c>
      <c r="J56" s="11" t="s">
        <v>56</v>
      </c>
      <c r="K56" s="11"/>
      <c r="L56" s="13" t="n">
        <f aca="false">IFERROR(WEEKNUM(A56,2)-WEEKNUM(DATE(YEAR(A56),1,5),2)+1,"")</f>
        <v>8</v>
      </c>
    </row>
    <row r="57" customFormat="false" ht="15" hidden="false" customHeight="true" outlineLevel="0" collapsed="false">
      <c r="A57" s="10" t="n">
        <v>46083</v>
      </c>
      <c r="B57" s="11" t="s">
        <v>207</v>
      </c>
      <c r="C57" s="11" t="s">
        <v>132</v>
      </c>
      <c r="D57" s="11" t="s">
        <v>198</v>
      </c>
      <c r="E57" s="11" t="s">
        <v>199</v>
      </c>
      <c r="F57" s="11" t="s">
        <v>54</v>
      </c>
      <c r="G57" s="12" t="n">
        <v>1</v>
      </c>
      <c r="H57" s="12" t="n">
        <v>18900</v>
      </c>
      <c r="I57" s="11" t="s">
        <v>55</v>
      </c>
      <c r="J57" s="11" t="s">
        <v>56</v>
      </c>
      <c r="K57" s="11"/>
      <c r="L57" s="13" t="n">
        <f aca="false">IFERROR(WEEKNUM(A57,2)-WEEKNUM(DATE(YEAR(A57),1,5),2)+1,"")</f>
        <v>9</v>
      </c>
    </row>
    <row r="58" customFormat="false" ht="15" hidden="false" customHeight="true" outlineLevel="0" collapsed="false">
      <c r="A58" s="10" t="n">
        <v>46090</v>
      </c>
      <c r="B58" s="11" t="s">
        <v>208</v>
      </c>
      <c r="C58" s="11" t="s">
        <v>132</v>
      </c>
      <c r="D58" s="11" t="s">
        <v>198</v>
      </c>
      <c r="E58" s="11" t="s">
        <v>199</v>
      </c>
      <c r="F58" s="11" t="s">
        <v>54</v>
      </c>
      <c r="G58" s="12" t="n">
        <v>1</v>
      </c>
      <c r="H58" s="12" t="n">
        <v>17800</v>
      </c>
      <c r="I58" s="11" t="s">
        <v>55</v>
      </c>
      <c r="J58" s="11" t="s">
        <v>56</v>
      </c>
      <c r="K58" s="11"/>
      <c r="L58" s="13" t="n">
        <f aca="false">IFERROR(WEEKNUM(A58,2)-WEEKNUM(DATE(YEAR(A58),1,5),2)+1,"")</f>
        <v>10</v>
      </c>
    </row>
    <row r="59" customFormat="false" ht="15" hidden="false" customHeight="true" outlineLevel="0" collapsed="false">
      <c r="A59" s="10" t="n">
        <v>46097</v>
      </c>
      <c r="B59" s="11" t="s">
        <v>209</v>
      </c>
      <c r="C59" s="11" t="s">
        <v>132</v>
      </c>
      <c r="D59" s="11" t="s">
        <v>198</v>
      </c>
      <c r="E59" s="11" t="s">
        <v>199</v>
      </c>
      <c r="F59" s="11" t="s">
        <v>54</v>
      </c>
      <c r="G59" s="12" t="n">
        <v>1</v>
      </c>
      <c r="H59" s="12" t="n">
        <v>19500</v>
      </c>
      <c r="I59" s="11" t="s">
        <v>55</v>
      </c>
      <c r="J59" s="11" t="s">
        <v>56</v>
      </c>
      <c r="K59" s="11"/>
      <c r="L59" s="13" t="n">
        <f aca="false">IFERROR(WEEKNUM(A59,2)-WEEKNUM(DATE(YEAR(A59),1,5),2)+1,"")</f>
        <v>11</v>
      </c>
    </row>
    <row r="60" customFormat="false" ht="15" hidden="false" customHeight="true" outlineLevel="0" collapsed="false">
      <c r="A60" s="10" t="n">
        <v>46104</v>
      </c>
      <c r="B60" s="11" t="s">
        <v>210</v>
      </c>
      <c r="C60" s="11" t="s">
        <v>132</v>
      </c>
      <c r="D60" s="11" t="s">
        <v>198</v>
      </c>
      <c r="E60" s="11" t="s">
        <v>199</v>
      </c>
      <c r="F60" s="11" t="s">
        <v>54</v>
      </c>
      <c r="G60" s="12" t="n">
        <v>1</v>
      </c>
      <c r="H60" s="12" t="n">
        <v>20100</v>
      </c>
      <c r="I60" s="11" t="s">
        <v>55</v>
      </c>
      <c r="J60" s="11" t="s">
        <v>56</v>
      </c>
      <c r="K60" s="11"/>
      <c r="L60" s="13" t="n">
        <f aca="false">IFERROR(WEEKNUM(A60,2)-WEEKNUM(DATE(YEAR(A60),1,5),2)+1,"")</f>
        <v>12</v>
      </c>
    </row>
    <row r="61" customFormat="false" ht="15" hidden="false" customHeight="true" outlineLevel="0" collapsed="false">
      <c r="A61" s="10" t="n">
        <v>46034</v>
      </c>
      <c r="B61" s="11" t="s">
        <v>211</v>
      </c>
      <c r="C61" s="11" t="s">
        <v>132</v>
      </c>
      <c r="D61" s="11" t="s">
        <v>212</v>
      </c>
      <c r="E61" s="11" t="s">
        <v>213</v>
      </c>
      <c r="F61" s="11" t="s">
        <v>54</v>
      </c>
      <c r="G61" s="12" t="n">
        <v>1</v>
      </c>
      <c r="H61" s="12" t="n">
        <v>6200</v>
      </c>
      <c r="I61" s="11" t="s">
        <v>55</v>
      </c>
      <c r="J61" s="11" t="s">
        <v>56</v>
      </c>
      <c r="K61" s="11"/>
      <c r="L61" s="13" t="n">
        <f aca="false">IFERROR(WEEKNUM(A61,2)-WEEKNUM(DATE(YEAR(A61),1,5),2)+1,"")</f>
        <v>2</v>
      </c>
    </row>
    <row r="62" customFormat="false" ht="15" hidden="false" customHeight="true" outlineLevel="0" collapsed="false">
      <c r="A62" s="10" t="n">
        <v>46062</v>
      </c>
      <c r="B62" s="11" t="s">
        <v>214</v>
      </c>
      <c r="C62" s="11" t="s">
        <v>132</v>
      </c>
      <c r="D62" s="11" t="s">
        <v>212</v>
      </c>
      <c r="E62" s="11" t="s">
        <v>213</v>
      </c>
      <c r="F62" s="11" t="s">
        <v>54</v>
      </c>
      <c r="G62" s="12" t="n">
        <v>1</v>
      </c>
      <c r="H62" s="12" t="n">
        <v>6200</v>
      </c>
      <c r="I62" s="11" t="s">
        <v>55</v>
      </c>
      <c r="J62" s="11" t="s">
        <v>56</v>
      </c>
      <c r="K62" s="11"/>
      <c r="L62" s="13" t="n">
        <f aca="false">IFERROR(WEEKNUM(A62,2)-WEEKNUM(DATE(YEAR(A62),1,5),2)+1,"")</f>
        <v>6</v>
      </c>
    </row>
    <row r="63" customFormat="false" ht="15" hidden="false" customHeight="true" outlineLevel="0" collapsed="false">
      <c r="A63" s="10" t="n">
        <v>46090</v>
      </c>
      <c r="B63" s="11" t="s">
        <v>215</v>
      </c>
      <c r="C63" s="11" t="s">
        <v>132</v>
      </c>
      <c r="D63" s="11" t="s">
        <v>212</v>
      </c>
      <c r="E63" s="11" t="s">
        <v>213</v>
      </c>
      <c r="F63" s="11" t="s">
        <v>54</v>
      </c>
      <c r="G63" s="12" t="n">
        <v>1</v>
      </c>
      <c r="H63" s="12" t="n">
        <v>6200</v>
      </c>
      <c r="I63" s="11" t="s">
        <v>55</v>
      </c>
      <c r="J63" s="11" t="s">
        <v>56</v>
      </c>
      <c r="K63" s="11"/>
      <c r="L63" s="13" t="n">
        <f aca="false">IFERROR(WEEKNUM(A63,2)-WEEKNUM(DATE(YEAR(A63),1,5),2)+1,"")</f>
        <v>10</v>
      </c>
    </row>
    <row r="64" customFormat="false" ht="15" hidden="false" customHeight="true" outlineLevel="0" collapsed="false">
      <c r="A64" s="10" t="n">
        <v>46027</v>
      </c>
      <c r="B64" s="11" t="s">
        <v>216</v>
      </c>
      <c r="C64" s="11" t="s">
        <v>132</v>
      </c>
      <c r="D64" s="11" t="s">
        <v>217</v>
      </c>
      <c r="E64" s="11" t="s">
        <v>218</v>
      </c>
      <c r="F64" s="11" t="s">
        <v>54</v>
      </c>
      <c r="G64" s="12" t="n">
        <v>1</v>
      </c>
      <c r="H64" s="12" t="n">
        <v>2800</v>
      </c>
      <c r="I64" s="11" t="s">
        <v>55</v>
      </c>
      <c r="J64" s="11" t="s">
        <v>56</v>
      </c>
      <c r="K64" s="11"/>
      <c r="L64" s="13" t="n">
        <f aca="false">IFERROR(WEEKNUM(A64,2)-WEEKNUM(DATE(YEAR(A64),1,5),2)+1,"")</f>
        <v>1</v>
      </c>
    </row>
    <row r="65" customFormat="false" ht="15" hidden="false" customHeight="true" outlineLevel="0" collapsed="false">
      <c r="A65" s="10" t="n">
        <v>46048</v>
      </c>
      <c r="B65" s="11" t="s">
        <v>219</v>
      </c>
      <c r="C65" s="11" t="s">
        <v>132</v>
      </c>
      <c r="D65" s="11" t="s">
        <v>217</v>
      </c>
      <c r="E65" s="11" t="s">
        <v>218</v>
      </c>
      <c r="F65" s="11" t="s">
        <v>54</v>
      </c>
      <c r="G65" s="12" t="n">
        <v>1</v>
      </c>
      <c r="H65" s="12" t="n">
        <v>3100</v>
      </c>
      <c r="I65" s="11" t="s">
        <v>55</v>
      </c>
      <c r="J65" s="11" t="s">
        <v>56</v>
      </c>
      <c r="K65" s="11"/>
      <c r="L65" s="13" t="n">
        <f aca="false">IFERROR(WEEKNUM(A65,2)-WEEKNUM(DATE(YEAR(A65),1,5),2)+1,"")</f>
        <v>4</v>
      </c>
    </row>
    <row r="66" customFormat="false" ht="15" hidden="false" customHeight="true" outlineLevel="0" collapsed="false">
      <c r="A66" s="10" t="n">
        <v>46076</v>
      </c>
      <c r="B66" s="11" t="s">
        <v>220</v>
      </c>
      <c r="C66" s="11" t="s">
        <v>132</v>
      </c>
      <c r="D66" s="11" t="s">
        <v>188</v>
      </c>
      <c r="E66" s="11" t="s">
        <v>189</v>
      </c>
      <c r="F66" s="11" t="s">
        <v>54</v>
      </c>
      <c r="G66" s="12" t="n">
        <v>1</v>
      </c>
      <c r="H66" s="12" t="n">
        <v>10400</v>
      </c>
      <c r="I66" s="11" t="s">
        <v>55</v>
      </c>
      <c r="J66" s="11" t="s">
        <v>56</v>
      </c>
      <c r="K66" s="11"/>
      <c r="L66" s="13" t="n">
        <f aca="false">IFERROR(WEEKNUM(A66,2)-WEEKNUM(DATE(YEAR(A66),1,5),2)+1,"")</f>
        <v>8</v>
      </c>
    </row>
    <row r="67" customFormat="false" ht="15" hidden="false" customHeight="true" outlineLevel="0" collapsed="false">
      <c r="A67" s="10" t="n">
        <v>46076</v>
      </c>
      <c r="B67" s="11" t="s">
        <v>221</v>
      </c>
      <c r="C67" s="11" t="s">
        <v>132</v>
      </c>
      <c r="D67" s="11" t="s">
        <v>193</v>
      </c>
      <c r="E67" s="11" t="s">
        <v>194</v>
      </c>
      <c r="F67" s="11" t="s">
        <v>54</v>
      </c>
      <c r="G67" s="12" t="n">
        <v>1</v>
      </c>
      <c r="H67" s="12" t="n">
        <v>14200</v>
      </c>
      <c r="I67" s="11" t="s">
        <v>55</v>
      </c>
      <c r="J67" s="11" t="s">
        <v>56</v>
      </c>
      <c r="K67" s="11"/>
      <c r="L67" s="13" t="n">
        <f aca="false">IFERROR(WEEKNUM(A67,2)-WEEKNUM(DATE(YEAR(A67),1,5),2)+1,"")</f>
        <v>8</v>
      </c>
    </row>
    <row r="68" customFormat="false" ht="15" hidden="false" customHeight="true" outlineLevel="0" collapsed="false">
      <c r="A68" s="10" t="n">
        <v>46104</v>
      </c>
      <c r="B68" s="11" t="s">
        <v>222</v>
      </c>
      <c r="C68" s="11" t="s">
        <v>132</v>
      </c>
      <c r="D68" s="11" t="s">
        <v>188</v>
      </c>
      <c r="E68" s="11" t="s">
        <v>189</v>
      </c>
      <c r="F68" s="11" t="s">
        <v>54</v>
      </c>
      <c r="G68" s="12" t="n">
        <v>1</v>
      </c>
      <c r="H68" s="12" t="n">
        <v>13100</v>
      </c>
      <c r="I68" s="11" t="s">
        <v>55</v>
      </c>
      <c r="J68" s="11" t="s">
        <v>56</v>
      </c>
      <c r="K68" s="11"/>
      <c r="L68" s="13" t="n">
        <f aca="false">IFERROR(WEEKNUM(A68,2)-WEEKNUM(DATE(YEAR(A68),1,5),2)+1,"")</f>
        <v>12</v>
      </c>
    </row>
    <row r="69" customFormat="false" ht="15" hidden="false" customHeight="true" outlineLevel="0" collapsed="false">
      <c r="A69" s="10" t="n">
        <v>46104</v>
      </c>
      <c r="B69" s="11" t="s">
        <v>223</v>
      </c>
      <c r="C69" s="11" t="s">
        <v>132</v>
      </c>
      <c r="D69" s="11" t="s">
        <v>193</v>
      </c>
      <c r="E69" s="11" t="s">
        <v>194</v>
      </c>
      <c r="F69" s="11" t="s">
        <v>54</v>
      </c>
      <c r="G69" s="12" t="n">
        <v>1</v>
      </c>
      <c r="H69" s="12" t="n">
        <v>14200</v>
      </c>
      <c r="I69" s="11" t="s">
        <v>55</v>
      </c>
      <c r="J69" s="11" t="s">
        <v>56</v>
      </c>
      <c r="K69" s="11"/>
      <c r="L69" s="13" t="n">
        <f aca="false">IFERROR(WEEKNUM(A69,2)-WEEKNUM(DATE(YEAR(A69),1,5),2)+1,"")</f>
        <v>12</v>
      </c>
    </row>
    <row r="70" customFormat="false" ht="15" hidden="false" customHeight="true" outlineLevel="0" collapsed="false">
      <c r="A70" s="10" t="n">
        <v>46104</v>
      </c>
      <c r="B70" s="11" t="s">
        <v>224</v>
      </c>
      <c r="C70" s="11" t="s">
        <v>132</v>
      </c>
      <c r="D70" s="11" t="s">
        <v>212</v>
      </c>
      <c r="E70" s="11" t="s">
        <v>213</v>
      </c>
      <c r="F70" s="11" t="s">
        <v>54</v>
      </c>
      <c r="G70" s="12" t="n">
        <v>1</v>
      </c>
      <c r="H70" s="12" t="n">
        <v>6200</v>
      </c>
      <c r="I70" s="11" t="s">
        <v>55</v>
      </c>
      <c r="J70" s="11" t="s">
        <v>56</v>
      </c>
      <c r="K70" s="11"/>
      <c r="L70" s="13" t="n">
        <f aca="false">IFERROR(WEEKNUM(A70,2)-WEEKNUM(DATE(YEAR(A70),1,5),2)+1,"")</f>
        <v>12</v>
      </c>
    </row>
    <row r="71" customFormat="false" ht="15" hidden="false" customHeight="true" outlineLevel="0" collapsed="false">
      <c r="A71" s="10" t="n">
        <v>46111</v>
      </c>
      <c r="B71" s="11" t="s">
        <v>225</v>
      </c>
      <c r="C71" s="11" t="s">
        <v>132</v>
      </c>
      <c r="D71" s="11" t="s">
        <v>133</v>
      </c>
      <c r="E71" s="11" t="s">
        <v>134</v>
      </c>
      <c r="F71" s="11" t="s">
        <v>54</v>
      </c>
      <c r="G71" s="12" t="n">
        <v>1</v>
      </c>
      <c r="H71" s="12" t="n">
        <v>165000</v>
      </c>
      <c r="I71" s="11" t="s">
        <v>55</v>
      </c>
      <c r="J71" s="11" t="s">
        <v>56</v>
      </c>
      <c r="K71" s="11"/>
      <c r="L71" s="13" t="n">
        <f aca="false">IFERROR(WEEKNUM(A71,2)-WEEKNUM(DATE(YEAR(A71),1,5),2)+1,"")</f>
        <v>13</v>
      </c>
    </row>
    <row r="72" customFormat="false" ht="15" hidden="false" customHeight="true" outlineLevel="0" collapsed="false">
      <c r="A72" s="10" t="n">
        <v>46111</v>
      </c>
      <c r="B72" s="11" t="s">
        <v>226</v>
      </c>
      <c r="C72" s="11" t="s">
        <v>132</v>
      </c>
      <c r="D72" s="11" t="s">
        <v>141</v>
      </c>
      <c r="E72" s="11" t="s">
        <v>142</v>
      </c>
      <c r="F72" s="11" t="s">
        <v>54</v>
      </c>
      <c r="G72" s="12" t="n">
        <v>1</v>
      </c>
      <c r="H72" s="12" t="n">
        <v>14200</v>
      </c>
      <c r="I72" s="11" t="s">
        <v>55</v>
      </c>
      <c r="J72" s="11" t="s">
        <v>56</v>
      </c>
      <c r="K72" s="11"/>
      <c r="L72" s="13" t="n">
        <f aca="false">IFERROR(WEEKNUM(A72,2)-WEEKNUM(DATE(YEAR(A72),1,5),2)+1,"")</f>
        <v>13</v>
      </c>
    </row>
    <row r="73" customFormat="false" ht="15" hidden="false" customHeight="true" outlineLevel="0" collapsed="false">
      <c r="A73" s="10" t="n">
        <v>46111</v>
      </c>
      <c r="B73" s="11" t="s">
        <v>227</v>
      </c>
      <c r="C73" s="11" t="s">
        <v>132</v>
      </c>
      <c r="D73" s="11" t="s">
        <v>146</v>
      </c>
      <c r="E73" s="11" t="s">
        <v>147</v>
      </c>
      <c r="F73" s="11" t="s">
        <v>54</v>
      </c>
      <c r="G73" s="12" t="n">
        <v>1</v>
      </c>
      <c r="H73" s="12" t="n">
        <v>9800</v>
      </c>
      <c r="I73" s="11" t="s">
        <v>55</v>
      </c>
      <c r="J73" s="11" t="s">
        <v>56</v>
      </c>
      <c r="K73" s="11"/>
      <c r="L73" s="13" t="n">
        <f aca="false">IFERROR(WEEKNUM(A73,2)-WEEKNUM(DATE(YEAR(A73),1,5),2)+1,"")</f>
        <v>13</v>
      </c>
    </row>
    <row r="74" customFormat="false" ht="15" hidden="false" customHeight="true" outlineLevel="0" collapsed="false">
      <c r="A74" s="10" t="n">
        <v>46111</v>
      </c>
      <c r="B74" s="11" t="s">
        <v>228</v>
      </c>
      <c r="C74" s="11" t="s">
        <v>132</v>
      </c>
      <c r="D74" s="11" t="s">
        <v>151</v>
      </c>
      <c r="E74" s="11" t="s">
        <v>152</v>
      </c>
      <c r="F74" s="11" t="s">
        <v>54</v>
      </c>
      <c r="G74" s="12" t="n">
        <v>1</v>
      </c>
      <c r="H74" s="12" t="n">
        <v>18500</v>
      </c>
      <c r="I74" s="11" t="s">
        <v>55</v>
      </c>
      <c r="J74" s="11" t="s">
        <v>56</v>
      </c>
      <c r="K74" s="11"/>
      <c r="L74" s="13" t="n">
        <f aca="false">IFERROR(WEEKNUM(A74,2)-WEEKNUM(DATE(YEAR(A74),1,5),2)+1,"")</f>
        <v>13</v>
      </c>
    </row>
    <row r="75" customFormat="false" ht="15" hidden="false" customHeight="true" outlineLevel="0" collapsed="false">
      <c r="A75" s="10" t="n">
        <v>46111</v>
      </c>
      <c r="B75" s="11" t="s">
        <v>229</v>
      </c>
      <c r="C75" s="11" t="s">
        <v>132</v>
      </c>
      <c r="D75" s="11" t="s">
        <v>156</v>
      </c>
      <c r="E75" s="11" t="s">
        <v>157</v>
      </c>
      <c r="F75" s="11" t="s">
        <v>54</v>
      </c>
      <c r="G75" s="12" t="n">
        <v>1</v>
      </c>
      <c r="H75" s="12" t="n">
        <v>52400</v>
      </c>
      <c r="I75" s="11" t="s">
        <v>55</v>
      </c>
      <c r="J75" s="11" t="s">
        <v>56</v>
      </c>
      <c r="K75" s="11"/>
      <c r="L75" s="13" t="n">
        <f aca="false">IFERROR(WEEKNUM(A75,2)-WEEKNUM(DATE(YEAR(A75),1,5),2)+1,"")</f>
        <v>13</v>
      </c>
    </row>
    <row r="76" customFormat="false" ht="15" hidden="false" customHeight="true" outlineLevel="0" collapsed="false">
      <c r="A76" s="10" t="n">
        <v>46111</v>
      </c>
      <c r="B76" s="11" t="s">
        <v>230</v>
      </c>
      <c r="C76" s="11" t="s">
        <v>132</v>
      </c>
      <c r="D76" s="11" t="s">
        <v>183</v>
      </c>
      <c r="E76" s="11" t="s">
        <v>184</v>
      </c>
      <c r="F76" s="11" t="s">
        <v>54</v>
      </c>
      <c r="G76" s="12" t="n">
        <v>1</v>
      </c>
      <c r="H76" s="12" t="n">
        <v>8700</v>
      </c>
      <c r="I76" s="11" t="s">
        <v>55</v>
      </c>
      <c r="J76" s="11" t="s">
        <v>56</v>
      </c>
      <c r="K76" s="11"/>
      <c r="L76" s="13" t="n">
        <f aca="false">IFERROR(WEEKNUM(A76,2)-WEEKNUM(DATE(YEAR(A76),1,5),2)+1,"")</f>
        <v>13</v>
      </c>
    </row>
    <row r="77" customFormat="false" ht="15" hidden="false" customHeight="true" outlineLevel="0" collapsed="false">
      <c r="A77" s="10" t="n">
        <v>46111</v>
      </c>
      <c r="B77" s="11" t="s">
        <v>231</v>
      </c>
      <c r="C77" s="11" t="s">
        <v>132</v>
      </c>
      <c r="D77" s="11" t="s">
        <v>198</v>
      </c>
      <c r="E77" s="11" t="s">
        <v>199</v>
      </c>
      <c r="F77" s="11" t="s">
        <v>54</v>
      </c>
      <c r="G77" s="12" t="n">
        <v>1</v>
      </c>
      <c r="H77" s="12" t="n">
        <v>16800</v>
      </c>
      <c r="I77" s="11" t="s">
        <v>55</v>
      </c>
      <c r="J77" s="11" t="s">
        <v>56</v>
      </c>
      <c r="K77" s="11"/>
      <c r="L77" s="13" t="n">
        <f aca="false">IFERROR(WEEKNUM(A77,2)-WEEKNUM(DATE(YEAR(A77),1,5),2)+1,"")</f>
        <v>13</v>
      </c>
    </row>
    <row r="78" customFormat="false" ht="15" hidden="false" customHeight="true" outlineLevel="0" collapsed="false">
      <c r="A78" s="10" t="n">
        <v>46111</v>
      </c>
      <c r="B78" s="11" t="s">
        <v>232</v>
      </c>
      <c r="C78" s="11" t="s">
        <v>132</v>
      </c>
      <c r="D78" s="11" t="s">
        <v>217</v>
      </c>
      <c r="E78" s="11" t="s">
        <v>218</v>
      </c>
      <c r="F78" s="11" t="s">
        <v>54</v>
      </c>
      <c r="G78" s="12" t="n">
        <v>1</v>
      </c>
      <c r="H78" s="12" t="n">
        <v>2800</v>
      </c>
      <c r="I78" s="11" t="s">
        <v>55</v>
      </c>
      <c r="J78" s="11" t="s">
        <v>56</v>
      </c>
      <c r="K78" s="11"/>
      <c r="L78" s="13" t="n">
        <f aca="false">IFERROR(WEEKNUM(A78,2)-WEEKNUM(DATE(YEAR(A78),1,5),2)+1,"")</f>
        <v>13</v>
      </c>
    </row>
    <row r="79" customFormat="false" ht="15" hidden="false" customHeight="true" outlineLevel="0" collapsed="false">
      <c r="A79" s="10" t="n">
        <v>46118</v>
      </c>
      <c r="B79" s="11" t="s">
        <v>233</v>
      </c>
      <c r="C79" s="11" t="s">
        <v>132</v>
      </c>
      <c r="D79" s="11" t="s">
        <v>156</v>
      </c>
      <c r="E79" s="11" t="s">
        <v>157</v>
      </c>
      <c r="F79" s="11" t="s">
        <v>54</v>
      </c>
      <c r="G79" s="12" t="n">
        <v>1</v>
      </c>
      <c r="H79" s="12" t="n">
        <v>38100</v>
      </c>
      <c r="I79" s="11" t="s">
        <v>55</v>
      </c>
      <c r="J79" s="11" t="s">
        <v>56</v>
      </c>
      <c r="K79" s="11"/>
      <c r="L79" s="13" t="n">
        <f aca="false">IFERROR(WEEKNUM(A79,2)-WEEKNUM(DATE(YEAR(A79),1,5),2)+1,"")</f>
        <v>14</v>
      </c>
    </row>
    <row r="80" customFormat="false" ht="15" hidden="false" customHeight="true" outlineLevel="0" collapsed="false">
      <c r="A80" s="10" t="n">
        <v>46118</v>
      </c>
      <c r="B80" s="11" t="s">
        <v>234</v>
      </c>
      <c r="C80" s="11" t="s">
        <v>132</v>
      </c>
      <c r="D80" s="11" t="s">
        <v>163</v>
      </c>
      <c r="E80" s="11" t="s">
        <v>157</v>
      </c>
      <c r="F80" s="11" t="s">
        <v>54</v>
      </c>
      <c r="G80" s="12" t="n">
        <v>1</v>
      </c>
      <c r="H80" s="12" t="n">
        <v>28400</v>
      </c>
      <c r="I80" s="11" t="s">
        <v>55</v>
      </c>
      <c r="J80" s="11" t="s">
        <v>56</v>
      </c>
      <c r="K80" s="11"/>
      <c r="L80" s="13" t="n">
        <f aca="false">IFERROR(WEEKNUM(A80,2)-WEEKNUM(DATE(YEAR(A80),1,5),2)+1,"")</f>
        <v>14</v>
      </c>
    </row>
    <row r="81" customFormat="false" ht="15" hidden="false" customHeight="true" outlineLevel="0" collapsed="false">
      <c r="A81" s="10" t="n">
        <v>46118</v>
      </c>
      <c r="B81" s="11" t="s">
        <v>235</v>
      </c>
      <c r="C81" s="11" t="s">
        <v>132</v>
      </c>
      <c r="D81" s="11" t="s">
        <v>188</v>
      </c>
      <c r="E81" s="11" t="s">
        <v>189</v>
      </c>
      <c r="F81" s="11" t="s">
        <v>54</v>
      </c>
      <c r="G81" s="12" t="n">
        <v>1</v>
      </c>
      <c r="H81" s="12" t="n">
        <v>12400</v>
      </c>
      <c r="I81" s="11" t="s">
        <v>55</v>
      </c>
      <c r="J81" s="11" t="s">
        <v>56</v>
      </c>
      <c r="K81" s="11"/>
      <c r="L81" s="13" t="n">
        <f aca="false">IFERROR(WEEKNUM(A81,2)-WEEKNUM(DATE(YEAR(A81),1,5),2)+1,"")</f>
        <v>14</v>
      </c>
    </row>
    <row r="82" customFormat="false" ht="15" hidden="false" customHeight="true" outlineLevel="0" collapsed="false">
      <c r="A82" s="10" t="n">
        <v>46118</v>
      </c>
      <c r="B82" s="11" t="s">
        <v>236</v>
      </c>
      <c r="C82" s="11" t="s">
        <v>132</v>
      </c>
      <c r="D82" s="11" t="s">
        <v>198</v>
      </c>
      <c r="E82" s="11" t="s">
        <v>199</v>
      </c>
      <c r="F82" s="11" t="s">
        <v>54</v>
      </c>
      <c r="G82" s="12" t="n">
        <v>1</v>
      </c>
      <c r="H82" s="12" t="n">
        <v>19200</v>
      </c>
      <c r="I82" s="11" t="s">
        <v>55</v>
      </c>
      <c r="J82" s="11" t="s">
        <v>56</v>
      </c>
      <c r="K82" s="11"/>
      <c r="L82" s="13" t="n">
        <f aca="false">IFERROR(WEEKNUM(A82,2)-WEEKNUM(DATE(YEAR(A82),1,5),2)+1,"")</f>
        <v>14</v>
      </c>
    </row>
    <row r="83" customFormat="false" ht="15" hidden="false" customHeight="true" outlineLevel="0" collapsed="false">
      <c r="A83" s="10" t="n">
        <v>46118</v>
      </c>
      <c r="B83" s="11" t="s">
        <v>237</v>
      </c>
      <c r="C83" s="11" t="s">
        <v>132</v>
      </c>
      <c r="D83" s="11" t="s">
        <v>212</v>
      </c>
      <c r="E83" s="11" t="s">
        <v>213</v>
      </c>
      <c r="F83" s="11" t="s">
        <v>54</v>
      </c>
      <c r="G83" s="12" t="n">
        <v>1</v>
      </c>
      <c r="H83" s="12" t="n">
        <v>6200</v>
      </c>
      <c r="I83" s="11" t="s">
        <v>55</v>
      </c>
      <c r="J83" s="11" t="s">
        <v>56</v>
      </c>
      <c r="K83" s="11"/>
      <c r="L83" s="13" t="n">
        <f aca="false">IFERROR(WEEKNUM(A83,2)-WEEKNUM(DATE(YEAR(A83),1,5),2)+1,"")</f>
        <v>14</v>
      </c>
    </row>
    <row r="84" customFormat="false" ht="15" hidden="false" customHeight="true" outlineLevel="0" collapsed="false">
      <c r="A84" s="10" t="n">
        <v>46125</v>
      </c>
      <c r="B84" s="11" t="s">
        <v>238</v>
      </c>
      <c r="C84" s="11" t="s">
        <v>132</v>
      </c>
      <c r="D84" s="11" t="s">
        <v>133</v>
      </c>
      <c r="E84" s="11" t="s">
        <v>134</v>
      </c>
      <c r="F84" s="11" t="s">
        <v>54</v>
      </c>
      <c r="G84" s="12" t="n">
        <v>1</v>
      </c>
      <c r="H84" s="12" t="n">
        <v>165000</v>
      </c>
      <c r="I84" s="11" t="s">
        <v>55</v>
      </c>
      <c r="J84" s="11" t="s">
        <v>56</v>
      </c>
      <c r="K84" s="11"/>
      <c r="L84" s="13" t="n">
        <f aca="false">IFERROR(WEEKNUM(A84,2)-WEEKNUM(DATE(YEAR(A84),1,5),2)+1,"")</f>
        <v>15</v>
      </c>
    </row>
    <row r="85" customFormat="false" ht="15" hidden="false" customHeight="true" outlineLevel="0" collapsed="false">
      <c r="A85" s="10" t="n">
        <v>46125</v>
      </c>
      <c r="B85" s="11" t="s">
        <v>239</v>
      </c>
      <c r="C85" s="11" t="s">
        <v>132</v>
      </c>
      <c r="D85" s="11" t="s">
        <v>156</v>
      </c>
      <c r="E85" s="11" t="s">
        <v>157</v>
      </c>
      <c r="F85" s="11" t="s">
        <v>54</v>
      </c>
      <c r="G85" s="12" t="n">
        <v>1</v>
      </c>
      <c r="H85" s="12" t="n">
        <v>61200</v>
      </c>
      <c r="I85" s="11" t="s">
        <v>55</v>
      </c>
      <c r="J85" s="11" t="s">
        <v>56</v>
      </c>
      <c r="K85" s="11"/>
      <c r="L85" s="13" t="n">
        <f aca="false">IFERROR(WEEKNUM(A85,2)-WEEKNUM(DATE(YEAR(A85),1,5),2)+1,"")</f>
        <v>15</v>
      </c>
    </row>
    <row r="86" customFormat="false" ht="15" hidden="false" customHeight="true" outlineLevel="0" collapsed="false">
      <c r="A86" s="10" t="n">
        <v>46125</v>
      </c>
      <c r="B86" s="11" t="s">
        <v>240</v>
      </c>
      <c r="C86" s="11" t="s">
        <v>132</v>
      </c>
      <c r="D86" s="11" t="s">
        <v>193</v>
      </c>
      <c r="E86" s="11" t="s">
        <v>194</v>
      </c>
      <c r="F86" s="11" t="s">
        <v>54</v>
      </c>
      <c r="G86" s="12" t="n">
        <v>1</v>
      </c>
      <c r="H86" s="12" t="n">
        <v>14200</v>
      </c>
      <c r="I86" s="11" t="s">
        <v>55</v>
      </c>
      <c r="J86" s="11" t="s">
        <v>56</v>
      </c>
      <c r="K86" s="11"/>
      <c r="L86" s="13" t="n">
        <f aca="false">IFERROR(WEEKNUM(A86,2)-WEEKNUM(DATE(YEAR(A86),1,5),2)+1,"")</f>
        <v>15</v>
      </c>
    </row>
    <row r="87" customFormat="false" ht="15" hidden="false" customHeight="true" outlineLevel="0" collapsed="false">
      <c r="A87" s="10" t="n">
        <v>46125</v>
      </c>
      <c r="B87" s="11" t="s">
        <v>241</v>
      </c>
      <c r="C87" s="11" t="s">
        <v>132</v>
      </c>
      <c r="D87" s="11" t="s">
        <v>198</v>
      </c>
      <c r="E87" s="11" t="s">
        <v>199</v>
      </c>
      <c r="F87" s="11" t="s">
        <v>54</v>
      </c>
      <c r="G87" s="12" t="n">
        <v>1</v>
      </c>
      <c r="H87" s="12" t="n">
        <v>17500</v>
      </c>
      <c r="I87" s="11" t="s">
        <v>55</v>
      </c>
      <c r="J87" s="11" t="s">
        <v>56</v>
      </c>
      <c r="K87" s="11"/>
      <c r="L87" s="13" t="n">
        <f aca="false">IFERROR(WEEKNUM(A87,2)-WEEKNUM(DATE(YEAR(A87),1,5),2)+1,"")</f>
        <v>15</v>
      </c>
    </row>
    <row r="88" customFormat="false" ht="15" hidden="false" customHeight="true" outlineLevel="0" collapsed="false">
      <c r="A88" s="10" t="n">
        <v>46132</v>
      </c>
      <c r="B88" s="11" t="s">
        <v>242</v>
      </c>
      <c r="C88" s="11" t="s">
        <v>132</v>
      </c>
      <c r="D88" s="11" t="s">
        <v>156</v>
      </c>
      <c r="E88" s="11" t="s">
        <v>157</v>
      </c>
      <c r="F88" s="11" t="s">
        <v>54</v>
      </c>
      <c r="G88" s="12" t="n">
        <v>1</v>
      </c>
      <c r="H88" s="12" t="n">
        <v>44800</v>
      </c>
      <c r="I88" s="11" t="s">
        <v>55</v>
      </c>
      <c r="J88" s="11" t="s">
        <v>56</v>
      </c>
      <c r="K88" s="11"/>
      <c r="L88" s="13" t="n">
        <f aca="false">IFERROR(WEEKNUM(A88,2)-WEEKNUM(DATE(YEAR(A88),1,5),2)+1,"")</f>
        <v>16</v>
      </c>
    </row>
    <row r="89" customFormat="false" ht="15" hidden="false" customHeight="true" outlineLevel="0" collapsed="false">
      <c r="A89" s="10" t="n">
        <v>46132</v>
      </c>
      <c r="B89" s="11" t="s">
        <v>243</v>
      </c>
      <c r="C89" s="11" t="s">
        <v>132</v>
      </c>
      <c r="D89" s="11" t="s">
        <v>160</v>
      </c>
      <c r="E89" s="11" t="s">
        <v>157</v>
      </c>
      <c r="F89" s="11" t="s">
        <v>54</v>
      </c>
      <c r="G89" s="12" t="n">
        <v>1</v>
      </c>
      <c r="H89" s="12" t="n">
        <v>21300</v>
      </c>
      <c r="I89" s="11" t="s">
        <v>55</v>
      </c>
      <c r="J89" s="11" t="s">
        <v>56</v>
      </c>
      <c r="K89" s="11"/>
      <c r="L89" s="13" t="n">
        <f aca="false">IFERROR(WEEKNUM(A89,2)-WEEKNUM(DATE(YEAR(A89),1,5),2)+1,"")</f>
        <v>16</v>
      </c>
    </row>
    <row r="90" customFormat="false" ht="15" hidden="false" customHeight="true" outlineLevel="0" collapsed="false">
      <c r="A90" s="10" t="n">
        <v>46132</v>
      </c>
      <c r="B90" s="11" t="s">
        <v>244</v>
      </c>
      <c r="C90" s="11" t="s">
        <v>132</v>
      </c>
      <c r="D90" s="11" t="s">
        <v>198</v>
      </c>
      <c r="E90" s="11" t="s">
        <v>199</v>
      </c>
      <c r="F90" s="11" t="s">
        <v>54</v>
      </c>
      <c r="G90" s="12" t="n">
        <v>1</v>
      </c>
      <c r="H90" s="12" t="n">
        <v>21300</v>
      </c>
      <c r="I90" s="11" t="s">
        <v>55</v>
      </c>
      <c r="J90" s="11" t="s">
        <v>56</v>
      </c>
      <c r="K90" s="11"/>
      <c r="L90" s="13" t="n">
        <f aca="false">IFERROR(WEEKNUM(A90,2)-WEEKNUM(DATE(YEAR(A90),1,5),2)+1,"")</f>
        <v>16</v>
      </c>
    </row>
    <row r="91" customFormat="false" ht="15" hidden="false" customHeight="true" outlineLevel="0" collapsed="false">
      <c r="A91" s="10" t="n">
        <v>46139</v>
      </c>
      <c r="B91" s="11" t="s">
        <v>245</v>
      </c>
      <c r="C91" s="11" t="s">
        <v>132</v>
      </c>
      <c r="D91" s="11" t="s">
        <v>133</v>
      </c>
      <c r="E91" s="11" t="s">
        <v>134</v>
      </c>
      <c r="F91" s="11" t="s">
        <v>54</v>
      </c>
      <c r="G91" s="12" t="n">
        <v>1</v>
      </c>
      <c r="H91" s="12" t="n">
        <v>165000</v>
      </c>
      <c r="I91" s="11" t="s">
        <v>55</v>
      </c>
      <c r="J91" s="11" t="s">
        <v>56</v>
      </c>
      <c r="K91" s="11"/>
      <c r="L91" s="13" t="n">
        <f aca="false">IFERROR(WEEKNUM(A91,2)-WEEKNUM(DATE(YEAR(A91),1,5),2)+1,"")</f>
        <v>17</v>
      </c>
    </row>
    <row r="92" customFormat="false" ht="15" hidden="false" customHeight="true" outlineLevel="0" collapsed="false">
      <c r="A92" s="10" t="n">
        <v>46139</v>
      </c>
      <c r="B92" s="11" t="s">
        <v>246</v>
      </c>
      <c r="C92" s="11" t="s">
        <v>132</v>
      </c>
      <c r="D92" s="11" t="s">
        <v>141</v>
      </c>
      <c r="E92" s="11" t="s">
        <v>142</v>
      </c>
      <c r="F92" s="11" t="s">
        <v>54</v>
      </c>
      <c r="G92" s="12" t="n">
        <v>1</v>
      </c>
      <c r="H92" s="12" t="n">
        <v>14200</v>
      </c>
      <c r="I92" s="11" t="s">
        <v>55</v>
      </c>
      <c r="J92" s="11" t="s">
        <v>56</v>
      </c>
      <c r="K92" s="11"/>
      <c r="L92" s="13" t="n">
        <f aca="false">IFERROR(WEEKNUM(A92,2)-WEEKNUM(DATE(YEAR(A92),1,5),2)+1,"")</f>
        <v>17</v>
      </c>
    </row>
    <row r="93" customFormat="false" ht="15" hidden="false" customHeight="true" outlineLevel="0" collapsed="false">
      <c r="A93" s="10" t="n">
        <v>46139</v>
      </c>
      <c r="B93" s="11" t="s">
        <v>247</v>
      </c>
      <c r="C93" s="11" t="s">
        <v>132</v>
      </c>
      <c r="D93" s="11" t="s">
        <v>146</v>
      </c>
      <c r="E93" s="11" t="s">
        <v>147</v>
      </c>
      <c r="F93" s="11" t="s">
        <v>54</v>
      </c>
      <c r="G93" s="12" t="n">
        <v>1</v>
      </c>
      <c r="H93" s="12" t="n">
        <v>9800</v>
      </c>
      <c r="I93" s="11" t="s">
        <v>55</v>
      </c>
      <c r="J93" s="11" t="s">
        <v>56</v>
      </c>
      <c r="K93" s="11"/>
      <c r="L93" s="13" t="n">
        <f aca="false">IFERROR(WEEKNUM(A93,2)-WEEKNUM(DATE(YEAR(A93),1,5),2)+1,"")</f>
        <v>17</v>
      </c>
    </row>
    <row r="94" customFormat="false" ht="15" hidden="false" customHeight="true" outlineLevel="0" collapsed="false">
      <c r="A94" s="10" t="n">
        <v>46139</v>
      </c>
      <c r="B94" s="11" t="s">
        <v>248</v>
      </c>
      <c r="C94" s="11" t="s">
        <v>132</v>
      </c>
      <c r="D94" s="11" t="s">
        <v>151</v>
      </c>
      <c r="E94" s="11" t="s">
        <v>152</v>
      </c>
      <c r="F94" s="11" t="s">
        <v>54</v>
      </c>
      <c r="G94" s="12" t="n">
        <v>1</v>
      </c>
      <c r="H94" s="12" t="n">
        <v>18500</v>
      </c>
      <c r="I94" s="11" t="s">
        <v>55</v>
      </c>
      <c r="J94" s="11" t="s">
        <v>56</v>
      </c>
      <c r="K94" s="11"/>
      <c r="L94" s="13" t="n">
        <f aca="false">IFERROR(WEEKNUM(A94,2)-WEEKNUM(DATE(YEAR(A94),1,5),2)+1,"")</f>
        <v>17</v>
      </c>
    </row>
    <row r="95" customFormat="false" ht="15" hidden="false" customHeight="true" outlineLevel="0" collapsed="false">
      <c r="A95" s="10" t="n">
        <v>46139</v>
      </c>
      <c r="B95" s="11" t="s">
        <v>249</v>
      </c>
      <c r="C95" s="11" t="s">
        <v>132</v>
      </c>
      <c r="D95" s="11" t="s">
        <v>156</v>
      </c>
      <c r="E95" s="11" t="s">
        <v>157</v>
      </c>
      <c r="F95" s="11" t="s">
        <v>54</v>
      </c>
      <c r="G95" s="12" t="n">
        <v>1</v>
      </c>
      <c r="H95" s="12" t="n">
        <v>57300</v>
      </c>
      <c r="I95" s="11" t="s">
        <v>55</v>
      </c>
      <c r="J95" s="11" t="s">
        <v>56</v>
      </c>
      <c r="K95" s="11"/>
      <c r="L95" s="13" t="n">
        <f aca="false">IFERROR(WEEKNUM(A95,2)-WEEKNUM(DATE(YEAR(A95),1,5),2)+1,"")</f>
        <v>17</v>
      </c>
    </row>
    <row r="96" customFormat="false" ht="15" hidden="false" customHeight="true" outlineLevel="0" collapsed="false">
      <c r="A96" s="10" t="n">
        <v>46139</v>
      </c>
      <c r="B96" s="11" t="s">
        <v>250</v>
      </c>
      <c r="C96" s="11" t="s">
        <v>132</v>
      </c>
      <c r="D96" s="11" t="s">
        <v>183</v>
      </c>
      <c r="E96" s="11" t="s">
        <v>184</v>
      </c>
      <c r="F96" s="11" t="s">
        <v>54</v>
      </c>
      <c r="G96" s="12" t="n">
        <v>1</v>
      </c>
      <c r="H96" s="12" t="n">
        <v>8700</v>
      </c>
      <c r="I96" s="11" t="s">
        <v>55</v>
      </c>
      <c r="J96" s="11" t="s">
        <v>56</v>
      </c>
      <c r="K96" s="11"/>
      <c r="L96" s="13" t="n">
        <f aca="false">IFERROR(WEEKNUM(A96,2)-WEEKNUM(DATE(YEAR(A96),1,5),2)+1,"")</f>
        <v>17</v>
      </c>
    </row>
    <row r="97" customFormat="false" ht="15" hidden="false" customHeight="true" outlineLevel="0" collapsed="false">
      <c r="A97" s="10" t="n">
        <v>46139</v>
      </c>
      <c r="B97" s="11" t="s">
        <v>251</v>
      </c>
      <c r="C97" s="11" t="s">
        <v>132</v>
      </c>
      <c r="D97" s="11" t="s">
        <v>198</v>
      </c>
      <c r="E97" s="11" t="s">
        <v>199</v>
      </c>
      <c r="F97" s="11" t="s">
        <v>54</v>
      </c>
      <c r="G97" s="12" t="n">
        <v>1</v>
      </c>
      <c r="H97" s="12" t="n">
        <v>18100</v>
      </c>
      <c r="I97" s="11" t="s">
        <v>55</v>
      </c>
      <c r="J97" s="11" t="s">
        <v>56</v>
      </c>
      <c r="K97" s="11"/>
      <c r="L97" s="13" t="n">
        <f aca="false">IFERROR(WEEKNUM(A97,2)-WEEKNUM(DATE(YEAR(A97),1,5),2)+1,"")</f>
        <v>17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6"/>
    <col collapsed="false" customWidth="true" hidden="false" outlineLevel="0" max="2" min="2" style="1" width="18"/>
    <col collapsed="false" customWidth="true" hidden="false" outlineLevel="0" max="3" min="3" style="1" width="38"/>
    <col collapsed="false" customWidth="true" hidden="false" outlineLevel="0" max="4" min="4" style="1" width="14"/>
  </cols>
  <sheetData>
    <row r="1" customFormat="false" ht="21.75" hidden="false" customHeight="true" outlineLevel="0" collapsed="false">
      <c r="A1" s="14" t="s">
        <v>252</v>
      </c>
      <c r="B1" s="14"/>
      <c r="C1" s="14"/>
      <c r="D1" s="14"/>
    </row>
    <row r="2" customFormat="false" ht="18" hidden="false" customHeight="true" outlineLevel="0" collapsed="false"/>
    <row r="3" customFormat="false" ht="15.75" hidden="false" customHeight="true" outlineLevel="0" collapsed="false">
      <c r="A3" s="15" t="s">
        <v>253</v>
      </c>
      <c r="B3" s="15"/>
      <c r="C3" s="15"/>
      <c r="D3" s="15"/>
    </row>
    <row r="4" customFormat="false" ht="18" hidden="false" customHeight="true" outlineLevel="0" collapsed="false">
      <c r="A4" s="16" t="s">
        <v>254</v>
      </c>
      <c r="B4" s="17" t="s">
        <v>56</v>
      </c>
      <c r="C4" s="18" t="s">
        <v>255</v>
      </c>
    </row>
    <row r="5" customFormat="false" ht="18" hidden="false" customHeight="true" outlineLevel="0" collapsed="false">
      <c r="A5" s="16" t="s">
        <v>256</v>
      </c>
      <c r="B5" s="17" t="s">
        <v>54</v>
      </c>
      <c r="C5" s="18"/>
    </row>
    <row r="6" customFormat="false" ht="18" hidden="false" customHeight="true" outlineLevel="0" collapsed="false">
      <c r="A6" s="16" t="s">
        <v>257</v>
      </c>
      <c r="B6" s="19" t="n">
        <v>46027</v>
      </c>
      <c r="C6" s="18" t="s">
        <v>258</v>
      </c>
    </row>
    <row r="7" customFormat="false" ht="42" hidden="false" customHeight="true" outlineLevel="0" collapsed="false">
      <c r="A7" s="20" t="s">
        <v>259</v>
      </c>
      <c r="B7" s="21" t="n">
        <v>46149</v>
      </c>
      <c r="C7" s="22" t="s">
        <v>260</v>
      </c>
    </row>
    <row r="8" customFormat="false" ht="18" hidden="false" customHeight="true" outlineLevel="0" collapsed="false">
      <c r="A8" s="23" t="s">
        <v>261</v>
      </c>
      <c r="B8" s="24" t="n">
        <f aca="false">INT((B7-WEEKDAY(B7,2)+1-B6)/7)</f>
        <v>17</v>
      </c>
      <c r="C8" s="25" t="s">
        <v>262</v>
      </c>
    </row>
    <row r="9" customFormat="false" ht="18" hidden="false" customHeight="true" outlineLevel="0" collapsed="false">
      <c r="A9" s="16" t="s">
        <v>263</v>
      </c>
      <c r="B9" s="26" t="n">
        <v>500000</v>
      </c>
      <c r="C9" s="18" t="s">
        <v>264</v>
      </c>
    </row>
    <row r="10" customFormat="false" ht="18" hidden="false" customHeight="true" outlineLevel="0" collapsed="false">
      <c r="A10" s="16" t="s">
        <v>265</v>
      </c>
      <c r="B10" s="26" t="n">
        <v>100000</v>
      </c>
      <c r="C10" s="18" t="s">
        <v>266</v>
      </c>
    </row>
    <row r="11" customFormat="false" ht="15.75" hidden="false" customHeight="true" outlineLevel="0" collapsed="false"/>
    <row r="12" customFormat="false" ht="15.75" hidden="false" customHeight="true" outlineLevel="0" collapsed="false">
      <c r="A12" s="15" t="s">
        <v>267</v>
      </c>
      <c r="B12" s="15"/>
      <c r="C12" s="15"/>
      <c r="D12" s="15"/>
    </row>
    <row r="13" customFormat="false" ht="36" hidden="false" customHeight="true" outlineLevel="0" collapsed="false">
      <c r="A13" s="27" t="s">
        <v>268</v>
      </c>
      <c r="B13" s="27"/>
      <c r="C13" s="27"/>
      <c r="D13" s="27"/>
    </row>
    <row r="14" customFormat="false" ht="21.75" hidden="false" customHeight="true" outlineLevel="0" collapsed="false">
      <c r="A14" s="28" t="s">
        <v>269</v>
      </c>
      <c r="B14" s="29" t="s">
        <v>270</v>
      </c>
      <c r="C14" s="29" t="s">
        <v>271</v>
      </c>
      <c r="D14" s="29" t="s">
        <v>272</v>
      </c>
    </row>
    <row r="15" customFormat="false" ht="21.75" hidden="false" customHeight="true" outlineLevel="0" collapsed="false">
      <c r="A15" s="16" t="s">
        <v>273</v>
      </c>
      <c r="B15" s="26" t="n">
        <v>191300</v>
      </c>
      <c r="C15" s="18" t="s">
        <v>274</v>
      </c>
      <c r="D15" s="30" t="s">
        <v>275</v>
      </c>
    </row>
    <row r="16" customFormat="false" ht="21.75" hidden="false" customHeight="true" outlineLevel="0" collapsed="false">
      <c r="A16" s="16" t="s">
        <v>276</v>
      </c>
      <c r="B16" s="26" t="n">
        <v>62500</v>
      </c>
      <c r="C16" s="18" t="s">
        <v>277</v>
      </c>
      <c r="D16" s="30" t="s">
        <v>278</v>
      </c>
    </row>
    <row r="17" customFormat="false" ht="21.75" hidden="false" customHeight="true" outlineLevel="0" collapsed="false">
      <c r="A17" s="16" t="s">
        <v>279</v>
      </c>
      <c r="B17" s="26" t="n">
        <v>12600</v>
      </c>
      <c r="C17" s="18" t="s">
        <v>280</v>
      </c>
      <c r="D17" s="30" t="s">
        <v>281</v>
      </c>
    </row>
    <row r="18" customFormat="false" ht="15.75" hidden="false" customHeight="true" outlineLevel="0" collapsed="false"/>
    <row r="19" customFormat="false" ht="15.75" hidden="false" customHeight="true" outlineLevel="0" collapsed="false">
      <c r="A19" s="15" t="s">
        <v>282</v>
      </c>
      <c r="B19" s="15"/>
      <c r="C19" s="15"/>
      <c r="D19" s="15"/>
    </row>
    <row r="20" customFormat="false" ht="36" hidden="false" customHeight="true" outlineLevel="0" collapsed="false">
      <c r="A20" s="27" t="s">
        <v>283</v>
      </c>
      <c r="B20" s="27"/>
      <c r="C20" s="27"/>
      <c r="D20" s="27"/>
    </row>
    <row r="21" customFormat="false" ht="21.75" hidden="false" customHeight="true" outlineLevel="0" collapsed="false">
      <c r="A21" s="28" t="s">
        <v>42</v>
      </c>
      <c r="B21" s="29" t="s">
        <v>284</v>
      </c>
      <c r="C21" s="29" t="s">
        <v>285</v>
      </c>
      <c r="D21" s="29" t="s">
        <v>40</v>
      </c>
    </row>
    <row r="22" customFormat="false" ht="19.5" hidden="false" customHeight="true" outlineLevel="0" collapsed="false">
      <c r="A22" s="16" t="s">
        <v>286</v>
      </c>
      <c r="B22" s="26" t="n">
        <v>165000</v>
      </c>
      <c r="C22" s="18" t="s">
        <v>287</v>
      </c>
      <c r="D22" s="31" t="s">
        <v>288</v>
      </c>
    </row>
    <row r="23" customFormat="false" ht="19.5" hidden="false" customHeight="true" outlineLevel="0" collapsed="false">
      <c r="A23" s="16" t="s">
        <v>289</v>
      </c>
      <c r="B23" s="26" t="n">
        <v>14200</v>
      </c>
      <c r="C23" s="18" t="s">
        <v>290</v>
      </c>
      <c r="D23" s="31" t="s">
        <v>288</v>
      </c>
    </row>
    <row r="24" customFormat="false" ht="19.5" hidden="false" customHeight="true" outlineLevel="0" collapsed="false">
      <c r="A24" s="16" t="s">
        <v>291</v>
      </c>
      <c r="B24" s="26" t="n">
        <v>19200</v>
      </c>
      <c r="C24" s="18" t="s">
        <v>292</v>
      </c>
      <c r="D24" s="31" t="s">
        <v>288</v>
      </c>
    </row>
    <row r="25" customFormat="false" ht="19.5" hidden="false" customHeight="true" outlineLevel="0" collapsed="false">
      <c r="A25" s="16" t="s">
        <v>293</v>
      </c>
      <c r="B25" s="26" t="n">
        <v>9800</v>
      </c>
      <c r="C25" s="18" t="s">
        <v>294</v>
      </c>
      <c r="D25" s="31" t="s">
        <v>288</v>
      </c>
    </row>
    <row r="26" customFormat="false" ht="19.5" hidden="false" customHeight="true" outlineLevel="0" collapsed="false">
      <c r="A26" s="16" t="s">
        <v>295</v>
      </c>
      <c r="B26" s="26" t="n">
        <v>18500</v>
      </c>
      <c r="C26" s="18" t="s">
        <v>294</v>
      </c>
      <c r="D26" s="31" t="s">
        <v>288</v>
      </c>
    </row>
    <row r="27" customFormat="false" ht="19.5" hidden="false" customHeight="true" outlineLevel="0" collapsed="false">
      <c r="A27" s="16" t="s">
        <v>296</v>
      </c>
      <c r="B27" s="26" t="n">
        <v>52000</v>
      </c>
      <c r="C27" s="18" t="s">
        <v>297</v>
      </c>
      <c r="D27" s="32" t="s">
        <v>298</v>
      </c>
    </row>
    <row r="28" customFormat="false" ht="19.5" hidden="false" customHeight="true" outlineLevel="0" collapsed="false">
      <c r="A28" s="16" t="s">
        <v>299</v>
      </c>
      <c r="B28" s="26" t="n">
        <v>28400</v>
      </c>
      <c r="C28" s="18" t="s">
        <v>300</v>
      </c>
      <c r="D28" s="32" t="s">
        <v>298</v>
      </c>
    </row>
    <row r="29" customFormat="false" ht="19.5" hidden="false" customHeight="true" outlineLevel="0" collapsed="false">
      <c r="A29" s="16" t="s">
        <v>301</v>
      </c>
      <c r="B29" s="26" t="n">
        <v>8700</v>
      </c>
      <c r="C29" s="18" t="s">
        <v>302</v>
      </c>
      <c r="D29" s="32" t="s">
        <v>298</v>
      </c>
    </row>
    <row r="30" customFormat="false" ht="19.5" hidden="false" customHeight="true" outlineLevel="0" collapsed="false">
      <c r="A30" s="16" t="s">
        <v>303</v>
      </c>
      <c r="B30" s="26" t="n">
        <v>12400</v>
      </c>
      <c r="C30" s="18" t="s">
        <v>304</v>
      </c>
      <c r="D30" s="32" t="s">
        <v>298</v>
      </c>
    </row>
    <row r="31" customFormat="false" ht="19.5" hidden="false" customHeight="true" outlineLevel="0" collapsed="false">
      <c r="A31" s="16" t="s">
        <v>305</v>
      </c>
      <c r="B31" s="26" t="n">
        <v>14200</v>
      </c>
      <c r="C31" s="18" t="s">
        <v>306</v>
      </c>
      <c r="D31" s="32" t="s">
        <v>298</v>
      </c>
    </row>
    <row r="32" customFormat="false" ht="19.5" hidden="false" customHeight="true" outlineLevel="0" collapsed="false">
      <c r="A32" s="16" t="s">
        <v>199</v>
      </c>
      <c r="B32" s="26" t="n">
        <v>19000</v>
      </c>
      <c r="C32" s="18" t="s">
        <v>307</v>
      </c>
      <c r="D32" s="32" t="s">
        <v>298</v>
      </c>
    </row>
    <row r="33" customFormat="false" ht="19.5" hidden="false" customHeight="true" outlineLevel="0" collapsed="false">
      <c r="A33" s="16" t="s">
        <v>308</v>
      </c>
      <c r="B33" s="26" t="n">
        <v>6200</v>
      </c>
      <c r="C33" s="18" t="s">
        <v>309</v>
      </c>
      <c r="D33" s="32" t="s">
        <v>298</v>
      </c>
    </row>
    <row r="34" customFormat="false" ht="19.5" hidden="false" customHeight="true" outlineLevel="0" collapsed="false">
      <c r="A34" s="16" t="s">
        <v>218</v>
      </c>
      <c r="B34" s="26" t="n">
        <v>3500</v>
      </c>
      <c r="C34" s="18" t="s">
        <v>310</v>
      </c>
      <c r="D34" s="32" t="s">
        <v>298</v>
      </c>
    </row>
    <row r="35" customFormat="false" ht="15.75" hidden="false" customHeight="true" outlineLevel="0" collapsed="false"/>
    <row r="36" customFormat="false" ht="15.75" hidden="false" customHeight="true" outlineLevel="0" collapsed="false">
      <c r="A36" s="15" t="s">
        <v>311</v>
      </c>
      <c r="B36" s="15"/>
      <c r="C36" s="15"/>
      <c r="D36" s="15"/>
    </row>
    <row r="37" customFormat="false" ht="18" hidden="false" customHeight="true" outlineLevel="0" collapsed="false">
      <c r="A37" s="16" t="s">
        <v>312</v>
      </c>
      <c r="B37" s="33" t="n">
        <v>0.15</v>
      </c>
      <c r="C37" s="18"/>
    </row>
    <row r="38" customFormat="false" ht="18" hidden="false" customHeight="true" outlineLevel="0" collapsed="false">
      <c r="A38" s="16" t="s">
        <v>313</v>
      </c>
      <c r="B38" s="33" t="n">
        <v>0.1</v>
      </c>
      <c r="C38" s="18"/>
    </row>
    <row r="39" customFormat="false" ht="18" hidden="false" customHeight="true" outlineLevel="0" collapsed="false">
      <c r="A39" s="16" t="s">
        <v>314</v>
      </c>
      <c r="B39" s="33" t="n">
        <v>0.15</v>
      </c>
      <c r="C39" s="18"/>
    </row>
    <row r="40" customFormat="false" ht="18" hidden="false" customHeight="true" outlineLevel="0" collapsed="false">
      <c r="A40" s="16" t="s">
        <v>315</v>
      </c>
      <c r="B40" s="33" t="n">
        <v>0.15</v>
      </c>
      <c r="C40" s="18"/>
    </row>
  </sheetData>
  <mergeCells count="7">
    <mergeCell ref="A1:D1"/>
    <mergeCell ref="A3:D3"/>
    <mergeCell ref="A12:D12"/>
    <mergeCell ref="A13:D13"/>
    <mergeCell ref="A19:D19"/>
    <mergeCell ref="A20:D20"/>
    <mergeCell ref="A36:D3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A1" activeCellId="0" sqref="A1"/>
    </sheetView>
  </sheetViews>
  <sheetFormatPr defaultColWidth="8.6796875" defaultRowHeight="15" zeroHeight="false" outlineLevelRow="0" outlineLevelCol="0"/>
  <cols>
    <col collapsed="false" customWidth="true" hidden="false" outlineLevel="0" max="1" min="1" style="1" width="34"/>
    <col collapsed="false" customWidth="true" hidden="false" outlineLevel="0" max="2" min="2" style="1" width="13"/>
    <col collapsed="false" customWidth="true" hidden="false" outlineLevel="0" max="30" min="3" style="1" width="10"/>
  </cols>
  <sheetData>
    <row r="1" customFormat="false" ht="25.5" hidden="false" customHeight="true" outlineLevel="0" collapsed="false">
      <c r="A1" s="34" t="s">
        <v>316</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customFormat="false" ht="13.5" hidden="false" customHeight="true" outlineLevel="0" collapsed="false">
      <c r="A2" s="3" t="str">
        <f aca="false">"Reporting date: "&amp;TEXT(Assumptions!B12,"DD MMM YYYY")&amp;"  ·  Weeks 1–"&amp;Assumptions!$B$8&amp;": Actual  ·  Week "&amp;(Assumptions!$B$8+1)&amp;" onward: Near-forecast  ·  Current week highlighted in amber"</f>
        <v>Reporting date: 30 Dec 1899  ·  Weeks 1–17: Actual  ·  Week 18 onward: Near-forecast  ·  Current week highlighted in amber</v>
      </c>
      <c r="B2" s="3"/>
      <c r="C2" s="3"/>
      <c r="D2" s="3"/>
      <c r="E2" s="3"/>
      <c r="F2" s="3"/>
      <c r="G2" s="3"/>
      <c r="H2" s="3"/>
      <c r="I2" s="3"/>
      <c r="J2" s="3"/>
      <c r="K2" s="3"/>
      <c r="L2" s="3"/>
      <c r="M2" s="3"/>
      <c r="N2" s="3"/>
      <c r="O2" s="3"/>
      <c r="P2" s="3"/>
      <c r="Q2" s="3"/>
      <c r="R2" s="3"/>
      <c r="S2" s="3"/>
      <c r="T2" s="3"/>
      <c r="U2" s="3"/>
      <c r="V2" s="3"/>
      <c r="W2" s="3"/>
      <c r="X2" s="3"/>
      <c r="Y2" s="3"/>
      <c r="Z2" s="3"/>
      <c r="AA2" s="3"/>
      <c r="AB2" s="3"/>
      <c r="AC2" s="3"/>
    </row>
    <row r="3" customFormat="false" ht="15.75" hidden="false" customHeight="true" outlineLevel="0" collapsed="false">
      <c r="A3" s="35"/>
      <c r="B3" s="36" t="s">
        <v>317</v>
      </c>
      <c r="C3" s="29" t="s">
        <v>318</v>
      </c>
      <c r="D3" s="29" t="s">
        <v>319</v>
      </c>
      <c r="E3" s="29" t="s">
        <v>320</v>
      </c>
      <c r="F3" s="29" t="s">
        <v>321</v>
      </c>
      <c r="G3" s="29" t="s">
        <v>322</v>
      </c>
      <c r="H3" s="29" t="s">
        <v>323</v>
      </c>
      <c r="I3" s="29" t="s">
        <v>324</v>
      </c>
      <c r="J3" s="29" t="s">
        <v>325</v>
      </c>
      <c r="K3" s="29" t="s">
        <v>326</v>
      </c>
      <c r="L3" s="29" t="s">
        <v>327</v>
      </c>
      <c r="M3" s="29" t="s">
        <v>328</v>
      </c>
      <c r="N3" s="29" t="s">
        <v>329</v>
      </c>
      <c r="O3" s="29" t="s">
        <v>330</v>
      </c>
      <c r="P3" s="29" t="s">
        <v>331</v>
      </c>
      <c r="Q3" s="29" t="s">
        <v>332</v>
      </c>
      <c r="R3" s="29" t="s">
        <v>333</v>
      </c>
      <c r="S3" s="37" t="s">
        <v>334</v>
      </c>
      <c r="T3" s="29" t="s">
        <v>335</v>
      </c>
      <c r="U3" s="29" t="s">
        <v>336</v>
      </c>
      <c r="V3" s="29" t="s">
        <v>337</v>
      </c>
      <c r="W3" s="29" t="s">
        <v>338</v>
      </c>
      <c r="X3" s="29" t="s">
        <v>339</v>
      </c>
      <c r="Y3" s="29" t="s">
        <v>340</v>
      </c>
      <c r="Z3" s="29" t="s">
        <v>341</v>
      </c>
      <c r="AA3" s="29" t="s">
        <v>342</v>
      </c>
      <c r="AB3" s="29" t="s">
        <v>343</v>
      </c>
    </row>
    <row r="4" customFormat="false" ht="13.5" hidden="false" customHeight="true" outlineLevel="0" collapsed="false">
      <c r="A4" s="38" t="s">
        <v>344</v>
      </c>
      <c r="B4" s="39"/>
      <c r="C4" s="40" t="s">
        <v>345</v>
      </c>
      <c r="D4" s="40" t="s">
        <v>346</v>
      </c>
      <c r="E4" s="40" t="s">
        <v>347</v>
      </c>
      <c r="F4" s="40" t="s">
        <v>348</v>
      </c>
      <c r="G4" s="40" t="s">
        <v>349</v>
      </c>
      <c r="H4" s="40" t="s">
        <v>350</v>
      </c>
      <c r="I4" s="40" t="s">
        <v>351</v>
      </c>
      <c r="J4" s="40" t="s">
        <v>352</v>
      </c>
      <c r="K4" s="40" t="s">
        <v>353</v>
      </c>
      <c r="L4" s="40" t="s">
        <v>354</v>
      </c>
      <c r="M4" s="40" t="s">
        <v>355</v>
      </c>
      <c r="N4" s="40" t="s">
        <v>356</v>
      </c>
      <c r="O4" s="40" t="s">
        <v>357</v>
      </c>
      <c r="P4" s="40" t="s">
        <v>358</v>
      </c>
      <c r="Q4" s="40" t="s">
        <v>359</v>
      </c>
      <c r="R4" s="40" t="s">
        <v>360</v>
      </c>
      <c r="S4" s="41" t="s">
        <v>361</v>
      </c>
      <c r="T4" s="40" t="s">
        <v>362</v>
      </c>
      <c r="U4" s="40" t="s">
        <v>363</v>
      </c>
      <c r="V4" s="40" t="s">
        <v>364</v>
      </c>
      <c r="W4" s="40" t="s">
        <v>365</v>
      </c>
      <c r="X4" s="40" t="s">
        <v>366</v>
      </c>
      <c r="Y4" s="40" t="s">
        <v>367</v>
      </c>
      <c r="Z4" s="40" t="s">
        <v>368</v>
      </c>
      <c r="AA4" s="40" t="s">
        <v>369</v>
      </c>
      <c r="AB4" s="40" t="s">
        <v>370</v>
      </c>
    </row>
    <row r="5" customFormat="false" ht="18" hidden="false" customHeight="true" outlineLevel="0" collapsed="false">
      <c r="A5" s="42" t="s">
        <v>263</v>
      </c>
      <c r="B5" s="43"/>
      <c r="C5" s="44" t="n">
        <f aca="false">Assumptions!B9</f>
        <v>500000</v>
      </c>
      <c r="D5" s="44" t="n">
        <f aca="false">C30</f>
        <v>780000</v>
      </c>
      <c r="E5" s="44" t="n">
        <f aca="false">D30</f>
        <v>1162700</v>
      </c>
      <c r="F5" s="44" t="n">
        <f aca="false">E30</f>
        <v>1496400</v>
      </c>
      <c r="G5" s="44" t="n">
        <f aca="false">F30</f>
        <v>1883500</v>
      </c>
      <c r="H5" s="44" t="n">
        <f aca="false">G30</f>
        <v>1812500</v>
      </c>
      <c r="I5" s="44" t="n">
        <f aca="false">H30</f>
        <v>1819400</v>
      </c>
      <c r="J5" s="44" t="n">
        <f aca="false">I30</f>
        <v>1788600</v>
      </c>
      <c r="K5" s="44" t="n">
        <f aca="false">J30</f>
        <v>2176600</v>
      </c>
      <c r="L5" s="44" t="n">
        <f aca="false">K30</f>
        <v>2177400</v>
      </c>
      <c r="M5" s="44" t="n">
        <f aca="false">L30</f>
        <v>2420600</v>
      </c>
      <c r="N5" s="44" t="n">
        <f aca="false">M30</f>
        <v>2233800</v>
      </c>
      <c r="O5" s="44" t="n">
        <f aca="false">N30</f>
        <v>2172500</v>
      </c>
      <c r="P5" s="44" t="n">
        <f aca="false">O30</f>
        <v>2174500</v>
      </c>
      <c r="Q5" s="44" t="n">
        <f aca="false">P30</f>
        <v>2337700</v>
      </c>
      <c r="R5" s="44" t="n">
        <f aca="false">Q30</f>
        <v>2151800</v>
      </c>
      <c r="S5" s="44" t="n">
        <f aca="false">R30</f>
        <v>2124700</v>
      </c>
      <c r="T5" s="44" t="n">
        <f aca="false">S30</f>
        <v>2072900</v>
      </c>
      <c r="U5" s="44" t="n">
        <f aca="false">T30</f>
        <v>2313700</v>
      </c>
      <c r="V5" s="44" t="n">
        <f aca="false">U30</f>
        <v>2171700</v>
      </c>
      <c r="W5" s="44" t="n">
        <f aca="false">V30</f>
        <v>2098900</v>
      </c>
      <c r="X5" s="44" t="n">
        <f aca="false">W30</f>
        <v>2032800</v>
      </c>
      <c r="Y5" s="44" t="n">
        <f aca="false">X30</f>
        <v>2234900</v>
      </c>
      <c r="Z5" s="44" t="n">
        <f aca="false">Y30</f>
        <v>2091100</v>
      </c>
      <c r="AA5" s="44" t="n">
        <f aca="false">Z30</f>
        <v>2035500</v>
      </c>
      <c r="AB5" s="44" t="n">
        <f aca="false">AA30</f>
        <v>1958900</v>
      </c>
    </row>
    <row r="6" customFormat="false" ht="15.75" hidden="false" customHeight="true" outlineLevel="0" collapsed="false">
      <c r="A6" s="15" t="s">
        <v>371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customFormat="false" ht="15.75" hidden="false" customHeight="true" outlineLevel="0" collapsed="false">
      <c r="A7" s="45" t="s">
        <v>372</v>
      </c>
      <c r="B7" s="46" t="n">
        <f aca="false">SUM(C7:AB7)</f>
        <v>3744000</v>
      </c>
      <c r="C7" s="47" t="n">
        <f aca="false">IF(SUMIFS('AR Data (NetSuite)'!H2:H63,'AR Data (NetSuite)'!E2:E63,"*Seg A*",'AR Data (NetSuite)'!L2:L63,1)&gt;0,SUMIFS('AR Data (NetSuite)'!H2:H63,'AR Data (NetSuite)'!E2:E63,"*Seg A*",'AR Data (NetSuite)'!L2:L63,1),IF(1&gt;Assumptions!$B$8,0,0))</f>
        <v>343200</v>
      </c>
      <c r="D7" s="47" t="n">
        <f aca="false">IF(SUMIFS('AR Data (NetSuite)'!H2:H63,'AR Data (NetSuite)'!E2:E63,"*Seg A*",'AR Data (NetSuite)'!L2:L63,2)&gt;0,SUMIFS('AR Data (NetSuite)'!H2:H63,'AR Data (NetSuite)'!E2:E63,"*Seg A*",'AR Data (NetSuite)'!L2:L63,2),IF(2&gt;Assumptions!$B$8,0,0))</f>
        <v>362400</v>
      </c>
      <c r="E7" s="47" t="n">
        <f aca="false">IF(SUMIFS('AR Data (NetSuite)'!H2:H63,'AR Data (NetSuite)'!E2:E63,"*Seg A*",'AR Data (NetSuite)'!L2:L63,3)&gt;0,SUMIFS('AR Data (NetSuite)'!H2:H63,'AR Data (NetSuite)'!E2:E63,"*Seg A*",'AR Data (NetSuite)'!L2:L63,3),IF(3&gt;Assumptions!$B$8,0,0))</f>
        <v>367500</v>
      </c>
      <c r="F7" s="47" t="n">
        <f aca="false">IF(SUMIFS('AR Data (NetSuite)'!H2:H63,'AR Data (NetSuite)'!E2:E63,"*Seg A*",'AR Data (NetSuite)'!L2:L63,4)&gt;0,SUMIFS('AR Data (NetSuite)'!H2:H63,'AR Data (NetSuite)'!E2:E63,"*Seg A*",'AR Data (NetSuite)'!L2:L63,4),IF(4&gt;Assumptions!$B$8,0,0))</f>
        <v>354800</v>
      </c>
      <c r="G7" s="47" t="n">
        <f aca="false">IF(SUMIFS('AR Data (NetSuite)'!H2:H63,'AR Data (NetSuite)'!E2:E63,"*Seg A*",'AR Data (NetSuite)'!L2:L63,5)&gt;0,SUMIFS('AR Data (NetSuite)'!H2:H63,'AR Data (NetSuite)'!E2:E63,"*Seg A*",'AR Data (NetSuite)'!L2:L63,5),IF(5&gt;Assumptions!$B$8,0,0))</f>
        <v>0</v>
      </c>
      <c r="H7" s="47" t="n">
        <f aca="false">IF(SUMIFS('AR Data (NetSuite)'!H2:H63,'AR Data (NetSuite)'!E2:E63,"*Seg A*",'AR Data (NetSuite)'!L2:L63,6)&gt;0,SUMIFS('AR Data (NetSuite)'!H2:H63,'AR Data (NetSuite)'!E2:E63,"*Seg A*",'AR Data (NetSuite)'!L2:L63,6),IF(6&gt;Assumptions!$B$8,0,0))</f>
        <v>0</v>
      </c>
      <c r="I7" s="47" t="n">
        <f aca="false">IF(SUMIFS('AR Data (NetSuite)'!H2:H63,'AR Data (NetSuite)'!E2:E63,"*Seg A*",'AR Data (NetSuite)'!L2:L63,7)&gt;0,SUMIFS('AR Data (NetSuite)'!H2:H63,'AR Data (NetSuite)'!E2:E63,"*Seg A*",'AR Data (NetSuite)'!L2:L63,7),IF(7&gt;Assumptions!$B$8,0,0))</f>
        <v>0</v>
      </c>
      <c r="J7" s="47" t="n">
        <f aca="false">IF(SUMIFS('AR Data (NetSuite)'!H2:H63,'AR Data (NetSuite)'!E2:E63,"*Seg A*",'AR Data (NetSuite)'!L2:L63,8)&gt;0,SUMIFS('AR Data (NetSuite)'!H2:H63,'AR Data (NetSuite)'!E2:E63,"*Seg A*",'AR Data (NetSuite)'!L2:L63,8),IF(8&gt;Assumptions!$B$8,0,0))</f>
        <v>377500</v>
      </c>
      <c r="K7" s="47" t="n">
        <f aca="false">IF(SUMIFS('AR Data (NetSuite)'!H2:H63,'AR Data (NetSuite)'!E2:E63,"*Seg A*",'AR Data (NetSuite)'!L2:L63,9)&gt;0,SUMIFS('AR Data (NetSuite)'!H2:H63,'AR Data (NetSuite)'!E2:E63,"*Seg A*",'AR Data (NetSuite)'!L2:L63,9),IF(9&gt;Assumptions!$B$8,0,0))</f>
        <v>158700</v>
      </c>
      <c r="L7" s="47" t="n">
        <f aca="false">IF(SUMIFS('AR Data (NetSuite)'!H2:H63,'AR Data (NetSuite)'!E2:E63,"*Seg A*",'AR Data (NetSuite)'!L2:L63,10)&gt;0,SUMIFS('AR Data (NetSuite)'!H2:H63,'AR Data (NetSuite)'!E2:E63,"*Seg A*",'AR Data (NetSuite)'!L2:L63,10),IF(10&gt;Assumptions!$B$8,0,0))</f>
        <v>229000</v>
      </c>
      <c r="M7" s="47" t="n">
        <f aca="false">IF(SUMIFS('AR Data (NetSuite)'!H2:H63,'AR Data (NetSuite)'!E2:E63,"*Seg A*",'AR Data (NetSuite)'!L2:L63,11)&gt;0,SUMIFS('AR Data (NetSuite)'!H2:H63,'AR Data (NetSuite)'!E2:E63,"*Seg A*",'AR Data (NetSuite)'!L2:L63,11),IF(11&gt;Assumptions!$B$8,0,0))</f>
        <v>0</v>
      </c>
      <c r="N7" s="47" t="n">
        <f aca="false">IF(SUMIFS('AR Data (NetSuite)'!H2:H63,'AR Data (NetSuite)'!E2:E63,"*Seg A*",'AR Data (NetSuite)'!L2:L63,12)&gt;0,SUMIFS('AR Data (NetSuite)'!H2:H63,'AR Data (NetSuite)'!E2:E63,"*Seg A*",'AR Data (NetSuite)'!L2:L63,12),IF(12&gt;Assumptions!$B$8,0,0))</f>
        <v>0</v>
      </c>
      <c r="O7" s="47" t="n">
        <f aca="false">IF(SUMIFS('AR Data (NetSuite)'!H2:H63,'AR Data (NetSuite)'!E2:E63,"*Seg A*",'AR Data (NetSuite)'!L2:L63,13)&gt;0,SUMIFS('AR Data (NetSuite)'!H2:H63,'AR Data (NetSuite)'!E2:E63,"*Seg A*",'AR Data (NetSuite)'!L2:L63,13),IF(13&gt;Assumptions!$B$8,167400,0))</f>
        <v>167400</v>
      </c>
      <c r="P7" s="47" t="n">
        <f aca="false">IF(SUMIFS('AR Data (NetSuite)'!H2:H63,'AR Data (NetSuite)'!E2:E63,"*Seg A*",'AR Data (NetSuite)'!L2:L63,14)&gt;0,SUMIFS('AR Data (NetSuite)'!H2:H63,'AR Data (NetSuite)'!E2:E63,"*Seg A*",'AR Data (NetSuite)'!L2:L63,14),IF(14&gt;Assumptions!$B$8,218000,0))</f>
        <v>218000</v>
      </c>
      <c r="Q7" s="47" t="n">
        <f aca="false">IF(SUMIFS('AR Data (NetSuite)'!H2:H63,'AR Data (NetSuite)'!E2:E63,"*Seg A*",'AR Data (NetSuite)'!L2:L63,15)&gt;0,SUMIFS('AR Data (NetSuite)'!H2:H63,'AR Data (NetSuite)'!E2:E63,"*Seg A*",'AR Data (NetSuite)'!L2:L63,15),IF(15&gt;Assumptions!$B$8,0,0))</f>
        <v>0</v>
      </c>
      <c r="R7" s="47" t="n">
        <f aca="false">IF(SUMIFS('AR Data (NetSuite)'!H2:H63,'AR Data (NetSuite)'!E2:E63,"*Seg A*",'AR Data (NetSuite)'!L2:L63,16)&gt;0,SUMIFS('AR Data (NetSuite)'!H2:H63,'AR Data (NetSuite)'!E2:E63,"*Seg A*",'AR Data (NetSuite)'!L2:L63,16),IF(16&gt;Assumptions!$B$8,0,0))</f>
        <v>0</v>
      </c>
      <c r="S7" s="48" t="n">
        <f aca="false">IF(SUMIFS('AR Data (NetSuite)'!H2:H63,'AR Data (NetSuite)'!E2:E63,"*Seg A*",'AR Data (NetSuite)'!L2:L63,17)&gt;0,SUMIFS('AR Data (NetSuite)'!H2:H63,'AR Data (NetSuite)'!E2:E63,"*Seg A*",'AR Data (NetSuite)'!L2:L63,17),IF(17&gt;Assumptions!$B$8,159800,0))</f>
        <v>159800</v>
      </c>
      <c r="T7" s="49" t="n">
        <f aca="false">IF(SUMIFS('AR Data (NetSuite)'!H2:H63,'AR Data (NetSuite)'!E2:E63,"*Seg A*",'AR Data (NetSuite)'!L2:L63,18)&gt;0,SUMIFS('AR Data (NetSuite)'!H2:H63,'AR Data (NetSuite)'!E2:E63,"*Seg A*",'AR Data (NetSuite)'!L2:L63,18),IF(18&gt;Assumptions!$B$8,224500,0))</f>
        <v>224500</v>
      </c>
      <c r="U7" s="49" t="n">
        <f aca="false">IF(SUMIFS('AR Data (NetSuite)'!H2:H63,'AR Data (NetSuite)'!E2:E63,"*Seg A*",'AR Data (NetSuite)'!L2:L63,19)&gt;0,SUMIFS('AR Data (NetSuite)'!H2:H63,'AR Data (NetSuite)'!E2:E63,"*Seg A*",'AR Data (NetSuite)'!L2:L63,19),IF(19&gt;Assumptions!$B$8,0,0))</f>
        <v>0</v>
      </c>
      <c r="V7" s="49" t="n">
        <f aca="false">IF(SUMIFS('AR Data (NetSuite)'!H2:H63,'AR Data (NetSuite)'!E2:E63,"*Seg A*",'AR Data (NetSuite)'!L2:L63,20)&gt;0,SUMIFS('AR Data (NetSuite)'!H2:H63,'AR Data (NetSuite)'!E2:E63,"*Seg A*",'AR Data (NetSuite)'!L2:L63,20),IF(20&gt;Assumptions!$B$8,0,0))</f>
        <v>0</v>
      </c>
      <c r="W7" s="49" t="n">
        <f aca="false">IF(SUMIFS('AR Data (NetSuite)'!H2:H63,'AR Data (NetSuite)'!E2:E63,"*Seg A*",'AR Data (NetSuite)'!L2:L63,21)&gt;0,SUMIFS('AR Data (NetSuite)'!H2:H63,'AR Data (NetSuite)'!E2:E63,"*Seg A*",'AR Data (NetSuite)'!L2:L63,21),IF(21&gt;Assumptions!$B$8,172300,0))</f>
        <v>172300</v>
      </c>
      <c r="X7" s="49" t="n">
        <f aca="false">IF(SUMIFS('AR Data (NetSuite)'!H2:H63,'AR Data (NetSuite)'!E2:E63,"*Seg A*",'AR Data (NetSuite)'!L2:L63,22)&gt;0,SUMIFS('AR Data (NetSuite)'!H2:H63,'AR Data (NetSuite)'!E2:E63,"*Seg A*",'AR Data (NetSuite)'!L2:L63,22),IF(22&gt;Assumptions!$B$8,211000,0))</f>
        <v>211000</v>
      </c>
      <c r="Y7" s="49" t="n">
        <f aca="false">IF(SUMIFS('AR Data (NetSuite)'!H2:H63,'AR Data (NetSuite)'!E2:E63,"*Seg A*",'AR Data (NetSuite)'!L2:L63,23)&gt;0,SUMIFS('AR Data (NetSuite)'!H2:H63,'AR Data (NetSuite)'!E2:E63,"*Seg A*",'AR Data (NetSuite)'!L2:L63,23),IF(23&gt;Assumptions!$B$8,0,0))</f>
        <v>0</v>
      </c>
      <c r="Z7" s="49" t="n">
        <f aca="false">IF(SUMIFS('AR Data (NetSuite)'!H2:H63,'AR Data (NetSuite)'!E2:E63,"*Seg A*",'AR Data (NetSuite)'!L2:L63,24)&gt;0,SUMIFS('AR Data (NetSuite)'!H2:H63,'AR Data (NetSuite)'!E2:E63,"*Seg A*",'AR Data (NetSuite)'!L2:L63,24),IF(24&gt;Assumptions!$B$8,0,0))</f>
        <v>0</v>
      </c>
      <c r="AA7" s="49" t="n">
        <f aca="false">IF(SUMIFS('AR Data (NetSuite)'!H2:H63,'AR Data (NetSuite)'!E2:E63,"*Seg A*",'AR Data (NetSuite)'!L2:L63,25)&gt;0,SUMIFS('AR Data (NetSuite)'!H2:H63,'AR Data (NetSuite)'!E2:E63,"*Seg A*",'AR Data (NetSuite)'!L2:L63,25),IF(25&gt;Assumptions!$B$8,164900,0))</f>
        <v>164900</v>
      </c>
      <c r="AB7" s="49" t="n">
        <f aca="false">IF(SUMIFS('AR Data (NetSuite)'!H2:H63,'AR Data (NetSuite)'!E2:E63,"*Seg A*",'AR Data (NetSuite)'!L2:L63,26)&gt;0,SUMIFS('AR Data (NetSuite)'!H2:H63,'AR Data (NetSuite)'!E2:E63,"*Seg A*",'AR Data (NetSuite)'!L2:L63,26),IF(26&gt;Assumptions!$B$8,233000,0))</f>
        <v>233000</v>
      </c>
    </row>
    <row r="8" customFormat="false" ht="15.75" hidden="false" customHeight="true" outlineLevel="0" collapsed="false">
      <c r="A8" s="45" t="s">
        <v>373</v>
      </c>
      <c r="B8" s="46" t="n">
        <f aca="false">SUM(C8:AB8)</f>
        <v>1934100</v>
      </c>
      <c r="C8" s="47" t="n">
        <f aca="false">IF(SUMIFS('AR Data (NetSuite)'!H2:H63,'AR Data (NetSuite)'!E2:E63,"*Seg B*",'AR Data (NetSuite)'!L2:L63,1)&gt;0,SUMIFS('AR Data (NetSuite)'!H2:H63,'AR Data (NetSuite)'!E2:E63,"*Seg B*",'AR Data (NetSuite)'!L2:L63,1),IF(1&gt;Assumptions!$B$8,0,0))</f>
        <v>105900</v>
      </c>
      <c r="D8" s="47" t="n">
        <f aca="false">IF(SUMIFS('AR Data (NetSuite)'!H2:H63,'AR Data (NetSuite)'!E2:E63,"*Seg B*",'AR Data (NetSuite)'!L2:L63,2)&gt;0,SUMIFS('AR Data (NetSuite)'!H2:H63,'AR Data (NetSuite)'!E2:E63,"*Seg B*",'AR Data (NetSuite)'!L2:L63,2),IF(2&gt;Assumptions!$B$8,0,0))</f>
        <v>93700</v>
      </c>
      <c r="E8" s="47" t="n">
        <f aca="false">IF(SUMIFS('AR Data (NetSuite)'!H2:H63,'AR Data (NetSuite)'!E2:E63,"*Seg B*",'AR Data (NetSuite)'!L2:L63,3)&gt;0,SUMIFS('AR Data (NetSuite)'!H2:H63,'AR Data (NetSuite)'!E2:E63,"*Seg B*",'AR Data (NetSuite)'!L2:L63,3),IF(3&gt;Assumptions!$B$8,0,0))</f>
        <v>109000</v>
      </c>
      <c r="F8" s="47" t="n">
        <f aca="false">IF(SUMIFS('AR Data (NetSuite)'!H2:H63,'AR Data (NetSuite)'!E2:E63,"*Seg B*",'AR Data (NetSuite)'!L2:L63,4)&gt;0,SUMIFS('AR Data (NetSuite)'!H2:H63,'AR Data (NetSuite)'!E2:E63,"*Seg B*",'AR Data (NetSuite)'!L2:L63,4),IF(4&gt;Assumptions!$B$8,0,0))</f>
        <v>101100</v>
      </c>
      <c r="G8" s="47" t="n">
        <f aca="false">IF(SUMIFS('AR Data (NetSuite)'!H2:H63,'AR Data (NetSuite)'!E2:E63,"*Seg B*",'AR Data (NetSuite)'!L2:L63,5)&gt;0,SUMIFS('AR Data (NetSuite)'!H2:H63,'AR Data (NetSuite)'!E2:E63,"*Seg B*",'AR Data (NetSuite)'!L2:L63,5),IF(5&gt;Assumptions!$B$8,0,0))</f>
        <v>112700</v>
      </c>
      <c r="H8" s="47" t="n">
        <f aca="false">IF(SUMIFS('AR Data (NetSuite)'!H2:H63,'AR Data (NetSuite)'!E2:E63,"*Seg B*",'AR Data (NetSuite)'!L2:L63,6)&gt;0,SUMIFS('AR Data (NetSuite)'!H2:H63,'AR Data (NetSuite)'!E2:E63,"*Seg B*",'AR Data (NetSuite)'!L2:L63,6),IF(6&gt;Assumptions!$B$8,0,0))</f>
        <v>102800</v>
      </c>
      <c r="I8" s="47" t="n">
        <f aca="false">IF(SUMIFS('AR Data (NetSuite)'!H2:H63,'AR Data (NetSuite)'!E2:E63,"*Seg B*",'AR Data (NetSuite)'!L2:L63,7)&gt;0,SUMIFS('AR Data (NetSuite)'!H2:H63,'AR Data (NetSuite)'!E2:E63,"*Seg B*",'AR Data (NetSuite)'!L2:L63,7),IF(7&gt;Assumptions!$B$8,0,0))</f>
        <v>114600</v>
      </c>
      <c r="J8" s="47" t="n">
        <f aca="false">IF(SUMIFS('AR Data (NetSuite)'!H2:H63,'AR Data (NetSuite)'!E2:E63,"*Seg B*",'AR Data (NetSuite)'!L2:L63,8)&gt;0,SUMIFS('AR Data (NetSuite)'!H2:H63,'AR Data (NetSuite)'!E2:E63,"*Seg B*",'AR Data (NetSuite)'!L2:L63,8),IF(8&gt;Assumptions!$B$8,0,0))</f>
        <v>104600</v>
      </c>
      <c r="K8" s="47" t="n">
        <f aca="false">IF(SUMIFS('AR Data (NetSuite)'!H2:H63,'AR Data (NetSuite)'!E2:E63,"*Seg B*",'AR Data (NetSuite)'!L2:L63,9)&gt;0,SUMIFS('AR Data (NetSuite)'!H2:H63,'AR Data (NetSuite)'!E2:E63,"*Seg B*",'AR Data (NetSuite)'!L2:L63,9),IF(9&gt;Assumptions!$B$8,0,0))</f>
        <v>51200</v>
      </c>
      <c r="L8" s="47" t="n">
        <f aca="false">IF(SUMIFS('AR Data (NetSuite)'!H2:H63,'AR Data (NetSuite)'!E2:E63,"*Seg B*",'AR Data (NetSuite)'!L2:L63,10)&gt;0,SUMIFS('AR Data (NetSuite)'!H2:H63,'AR Data (NetSuite)'!E2:E63,"*Seg B*",'AR Data (NetSuite)'!L2:L63,10),IF(10&gt;Assumptions!$B$8,0,0))</f>
        <v>114700</v>
      </c>
      <c r="M8" s="47" t="n">
        <f aca="false">IF(SUMIFS('AR Data (NetSuite)'!H2:H63,'AR Data (NetSuite)'!E2:E63,"*Seg B*",'AR Data (NetSuite)'!L2:L63,11)&gt;0,SUMIFS('AR Data (NetSuite)'!H2:H63,'AR Data (NetSuite)'!E2:E63,"*Seg B*",'AR Data (NetSuite)'!L2:L63,11),IF(11&gt;Assumptions!$B$8,0,0))</f>
        <v>0</v>
      </c>
      <c r="N8" s="47" t="n">
        <f aca="false">IF(SUMIFS('AR Data (NetSuite)'!H2:H63,'AR Data (NetSuite)'!E2:E63,"*Seg B*",'AR Data (NetSuite)'!L2:L63,12)&gt;0,SUMIFS('AR Data (NetSuite)'!H2:H63,'AR Data (NetSuite)'!E2:E63,"*Seg B*",'AR Data (NetSuite)'!L2:L63,12),IF(12&gt;Assumptions!$B$8,0,0))</f>
        <v>62800</v>
      </c>
      <c r="O8" s="47" t="n">
        <f aca="false">IF(SUMIFS('AR Data (NetSuite)'!H2:H63,'AR Data (NetSuite)'!E2:E63,"*Seg B*",'AR Data (NetSuite)'!L2:L63,13)&gt;0,SUMIFS('AR Data (NetSuite)'!H2:H63,'AR Data (NetSuite)'!E2:E63,"*Seg B*",'AR Data (NetSuite)'!L2:L63,13),IF(13&gt;Assumptions!$B$8,111000,0))</f>
        <v>111000</v>
      </c>
      <c r="P8" s="47" t="n">
        <f aca="false">IF(SUMIFS('AR Data (NetSuite)'!H2:H63,'AR Data (NetSuite)'!E2:E63,"*Seg B*",'AR Data (NetSuite)'!L2:L63,14)&gt;0,SUMIFS('AR Data (NetSuite)'!H2:H63,'AR Data (NetSuite)'!E2:E63,"*Seg B*",'AR Data (NetSuite)'!L2:L63,14),IF(14&gt;Assumptions!$B$8,0,0))</f>
        <v>41500</v>
      </c>
      <c r="Q8" s="47" t="n">
        <f aca="false">IF(SUMIFS('AR Data (NetSuite)'!H2:H63,'AR Data (NetSuite)'!E2:E63,"*Seg B*",'AR Data (NetSuite)'!L2:L63,15)&gt;0,SUMIFS('AR Data (NetSuite)'!H2:H63,'AR Data (NetSuite)'!E2:E63,"*Seg B*",'AR Data (NetSuite)'!L2:L63,15),IF(15&gt;Assumptions!$B$8,41500,0))</f>
        <v>62400</v>
      </c>
      <c r="R8" s="47" t="n">
        <f aca="false">IF(SUMIFS('AR Data (NetSuite)'!H2:H63,'AR Data (NetSuite)'!E2:E63,"*Seg B*",'AR Data (NetSuite)'!L2:L63,16)&gt;0,SUMIFS('AR Data (NetSuite)'!H2:H63,'AR Data (NetSuite)'!E2:E63,"*Seg B*",'AR Data (NetSuite)'!L2:L63,16),IF(16&gt;Assumptions!$B$8,62400,0))</f>
        <v>47900</v>
      </c>
      <c r="S8" s="48" t="n">
        <f aca="false">IF(SUMIFS('AR Data (NetSuite)'!H2:H63,'AR Data (NetSuite)'!E2:E63,"*Seg B*",'AR Data (NetSuite)'!L2:L63,17)&gt;0,SUMIFS('AR Data (NetSuite)'!H2:H63,'AR Data (NetSuite)'!E2:E63,"*Seg B*",'AR Data (NetSuite)'!L2:L63,17),IF(17&gt;Assumptions!$B$8,47900,0))</f>
        <v>69200</v>
      </c>
      <c r="T8" s="49" t="n">
        <f aca="false">IF(SUMIFS('AR Data (NetSuite)'!H2:H63,'AR Data (NetSuite)'!E2:E63,"*Seg B*",'AR Data (NetSuite)'!L2:L63,18)&gt;0,SUMIFS('AR Data (NetSuite)'!H2:H63,'AR Data (NetSuite)'!E2:E63,"*Seg B*",'AR Data (NetSuite)'!L2:L63,18),IF(18&gt;Assumptions!$B$8,69200,0))</f>
        <v>69200</v>
      </c>
      <c r="U8" s="49" t="n">
        <f aca="false">IF(SUMIFS('AR Data (NetSuite)'!H2:H63,'AR Data (NetSuite)'!E2:E63,"*Seg B*",'AR Data (NetSuite)'!L2:L63,19)&gt;0,SUMIFS('AR Data (NetSuite)'!H2:H63,'AR Data (NetSuite)'!E2:E63,"*Seg B*",'AR Data (NetSuite)'!L2:L63,19),IF(19&gt;Assumptions!$B$8,107900,0))</f>
        <v>107900</v>
      </c>
      <c r="V8" s="49" t="n">
        <f aca="false">IF(SUMIFS('AR Data (NetSuite)'!H2:H63,'AR Data (NetSuite)'!E2:E63,"*Seg B*",'AR Data (NetSuite)'!L2:L63,20)&gt;0,SUMIFS('AR Data (NetSuite)'!H2:H63,'AR Data (NetSuite)'!E2:E63,"*Seg B*",'AR Data (NetSuite)'!L2:L63,20),IF(20&gt;Assumptions!$B$8,0,0))</f>
        <v>0</v>
      </c>
      <c r="W8" s="49" t="n">
        <f aca="false">IF(SUMIFS('AR Data (NetSuite)'!H2:H63,'AR Data (NetSuite)'!E2:E63,"*Seg B*",'AR Data (NetSuite)'!L2:L63,21)&gt;0,SUMIFS('AR Data (NetSuite)'!H2:H63,'AR Data (NetSuite)'!E2:E63,"*Seg B*",'AR Data (NetSuite)'!L2:L63,21),IF(21&gt;Assumptions!$B$8,46500,0))</f>
        <v>46500</v>
      </c>
      <c r="X8" s="49" t="n">
        <f aca="false">IF(SUMIFS('AR Data (NetSuite)'!H2:H63,'AR Data (NetSuite)'!E2:E63,"*Seg B*",'AR Data (NetSuite)'!L2:L63,22)&gt;0,SUMIFS('AR Data (NetSuite)'!H2:H63,'AR Data (NetSuite)'!E2:E63,"*Seg B*",'AR Data (NetSuite)'!L2:L63,22),IF(22&gt;Assumptions!$B$8,71400,0))</f>
        <v>71400</v>
      </c>
      <c r="Y8" s="49" t="n">
        <f aca="false">IF(SUMIFS('AR Data (NetSuite)'!H2:H63,'AR Data (NetSuite)'!E2:E63,"*Seg B*",'AR Data (NetSuite)'!L2:L63,23)&gt;0,SUMIFS('AR Data (NetSuite)'!H2:H63,'AR Data (NetSuite)'!E2:E63,"*Seg B*",'AR Data (NetSuite)'!L2:L63,23),IF(23&gt;Assumptions!$B$8,112100,0))</f>
        <v>112100</v>
      </c>
      <c r="Z8" s="49" t="n">
        <f aca="false">IF(SUMIFS('AR Data (NetSuite)'!H2:H63,'AR Data (NetSuite)'!E2:E63,"*Seg B*",'AR Data (NetSuite)'!L2:L63,24)&gt;0,SUMIFS('AR Data (NetSuite)'!H2:H63,'AR Data (NetSuite)'!E2:E63,"*Seg B*",'AR Data (NetSuite)'!L2:L63,24),IF(24&gt;Assumptions!$B$8,0,0))</f>
        <v>0</v>
      </c>
      <c r="AA8" s="49" t="n">
        <f aca="false">IF(SUMIFS('AR Data (NetSuite)'!H2:H63,'AR Data (NetSuite)'!E2:E63,"*Seg B*",'AR Data (NetSuite)'!L2:L63,25)&gt;0,SUMIFS('AR Data (NetSuite)'!H2:H63,'AR Data (NetSuite)'!E2:E63,"*Seg B*",'AR Data (NetSuite)'!L2:L63,25),IF(25&gt;Assumptions!$B$8,48800,0))</f>
        <v>48800</v>
      </c>
      <c r="AB8" s="49" t="n">
        <f aca="false">IF(SUMIFS('AR Data (NetSuite)'!H2:H63,'AR Data (NetSuite)'!E2:E63,"*Seg B*",'AR Data (NetSuite)'!L2:L63,26)&gt;0,SUMIFS('AR Data (NetSuite)'!H2:H63,'AR Data (NetSuite)'!E2:E63,"*Seg B*",'AR Data (NetSuite)'!L2:L63,26),IF(26&gt;Assumptions!$B$8,73100,0))</f>
        <v>73100</v>
      </c>
    </row>
    <row r="9" customFormat="false" ht="15.75" hidden="false" customHeight="true" outlineLevel="0" collapsed="false">
      <c r="A9" s="45" t="s">
        <v>374</v>
      </c>
      <c r="B9" s="46" t="n">
        <f aca="false">SUM(C9:AB9)</f>
        <v>414500</v>
      </c>
      <c r="C9" s="47" t="n">
        <f aca="false">IF(SUMIFS('AR Data (NetSuite)'!H2:H63,'AR Data (NetSuite)'!E2:E63,"*Seg C*",'AR Data (NetSuite)'!L2:L63,1)&gt;0,SUMIFS('AR Data (NetSuite)'!H2:H63,'AR Data (NetSuite)'!E2:E63,"*Seg C*",'AR Data (NetSuite)'!L2:L63,1),IF(1&gt;Assumptions!$B$8,0,0))</f>
        <v>21000</v>
      </c>
      <c r="D9" s="47" t="n">
        <f aca="false">IF(SUMIFS('AR Data (NetSuite)'!H2:H63,'AR Data (NetSuite)'!E2:E63,"*Seg C*",'AR Data (NetSuite)'!L2:L63,2)&gt;0,SUMIFS('AR Data (NetSuite)'!H2:H63,'AR Data (NetSuite)'!E2:E63,"*Seg C*",'AR Data (NetSuite)'!L2:L63,2),IF(2&gt;Assumptions!$B$8,0,0))</f>
        <v>31400</v>
      </c>
      <c r="E9" s="47" t="n">
        <f aca="false">IF(SUMIFS('AR Data (NetSuite)'!H2:H63,'AR Data (NetSuite)'!E2:E63,"*Seg C*",'AR Data (NetSuite)'!L2:L63,3)&gt;0,SUMIFS('AR Data (NetSuite)'!H2:H63,'AR Data (NetSuite)'!E2:E63,"*Seg C*",'AR Data (NetSuite)'!L2:L63,3),IF(3&gt;Assumptions!$B$8,0,0))</f>
        <v>30100</v>
      </c>
      <c r="F9" s="47" t="n">
        <f aca="false">IF(SUMIFS('AR Data (NetSuite)'!H2:H63,'AR Data (NetSuite)'!E2:E63,"*Seg C*",'AR Data (NetSuite)'!L2:L63,4)&gt;0,SUMIFS('AR Data (NetSuite)'!H2:H63,'AR Data (NetSuite)'!E2:E63,"*Seg C*",'AR Data (NetSuite)'!L2:L63,4),IF(4&gt;Assumptions!$B$8,0,0))</f>
        <v>13100</v>
      </c>
      <c r="G9" s="47" t="n">
        <f aca="false">IF(SUMIFS('AR Data (NetSuite)'!H2:H63,'AR Data (NetSuite)'!E2:E63,"*Seg C*",'AR Data (NetSuite)'!L2:L63,5)&gt;0,SUMIFS('AR Data (NetSuite)'!H2:H63,'AR Data (NetSuite)'!E2:E63,"*Seg C*",'AR Data (NetSuite)'!L2:L63,5),IF(5&gt;Assumptions!$B$8,0,0))</f>
        <v>30100</v>
      </c>
      <c r="H9" s="47" t="n">
        <f aca="false">IF(SUMIFS('AR Data (NetSuite)'!H2:H63,'AR Data (NetSuite)'!E2:E63,"*Seg C*",'AR Data (NetSuite)'!L2:L63,6)&gt;0,SUMIFS('AR Data (NetSuite)'!H2:H63,'AR Data (NetSuite)'!E2:E63,"*Seg C*",'AR Data (NetSuite)'!L2:L63,6),IF(6&gt;Assumptions!$B$8,0,0))</f>
        <v>14200</v>
      </c>
      <c r="I9" s="47" t="n">
        <f aca="false">IF(SUMIFS('AR Data (NetSuite)'!H2:H63,'AR Data (NetSuite)'!E2:E63,"*Seg C*",'AR Data (NetSuite)'!L2:L63,7)&gt;0,SUMIFS('AR Data (NetSuite)'!H2:H63,'AR Data (NetSuite)'!E2:E63,"*Seg C*",'AR Data (NetSuite)'!L2:L63,7),IF(7&gt;Assumptions!$B$8,0,0))</f>
        <v>33600</v>
      </c>
      <c r="J9" s="47" t="n">
        <f aca="false">IF(SUMIFS('AR Data (NetSuite)'!H2:H63,'AR Data (NetSuite)'!E2:E63,"*Seg C*",'AR Data (NetSuite)'!L2:L63,8)&gt;0,SUMIFS('AR Data (NetSuite)'!H2:H63,'AR Data (NetSuite)'!E2:E63,"*Seg C*",'AR Data (NetSuite)'!L2:L63,8),IF(8&gt;Assumptions!$B$8,0,0))</f>
        <v>13600</v>
      </c>
      <c r="K9" s="47" t="n">
        <f aca="false">IF(SUMIFS('AR Data (NetSuite)'!H2:H63,'AR Data (NetSuite)'!E2:E63,"*Seg C*",'AR Data (NetSuite)'!L2:L63,9)&gt;0,SUMIFS('AR Data (NetSuite)'!H2:H63,'AR Data (NetSuite)'!E2:E63,"*Seg C*",'AR Data (NetSuite)'!L2:L63,9),IF(9&gt;Assumptions!$B$8,0,0))</f>
        <v>10800</v>
      </c>
      <c r="L9" s="47" t="n">
        <f aca="false">IF(SUMIFS('AR Data (NetSuite)'!H2:H63,'AR Data (NetSuite)'!E2:E63,"*Seg C*",'AR Data (NetSuite)'!L2:L63,10)&gt;0,SUMIFS('AR Data (NetSuite)'!H2:H63,'AR Data (NetSuite)'!E2:E63,"*Seg C*",'AR Data (NetSuite)'!L2:L63,10),IF(10&gt;Assumptions!$B$8,0,0))</f>
        <v>14900</v>
      </c>
      <c r="M9" s="47" t="n">
        <f aca="false">IF(SUMIFS('AR Data (NetSuite)'!H2:H63,'AR Data (NetSuite)'!E2:E63,"*Seg C*",'AR Data (NetSuite)'!L2:L63,11)&gt;0,SUMIFS('AR Data (NetSuite)'!H2:H63,'AR Data (NetSuite)'!E2:E63,"*Seg C*",'AR Data (NetSuite)'!L2:L63,11),IF(11&gt;Assumptions!$B$8,0,0))</f>
        <v>0</v>
      </c>
      <c r="N9" s="47" t="n">
        <f aca="false">IF(SUMIFS('AR Data (NetSuite)'!H2:H63,'AR Data (NetSuite)'!E2:E63,"*Seg C*",'AR Data (NetSuite)'!L2:L63,12)&gt;0,SUMIFS('AR Data (NetSuite)'!H2:H63,'AR Data (NetSuite)'!E2:E63,"*Seg C*",'AR Data (NetSuite)'!L2:L63,12),IF(12&gt;Assumptions!$B$8,0,0))</f>
        <v>20400</v>
      </c>
      <c r="O9" s="47" t="n">
        <f aca="false">IF(SUMIFS('AR Data (NetSuite)'!H2:H63,'AR Data (NetSuite)'!E2:E63,"*Seg C*",'AR Data (NetSuite)'!L2:L63,13)&gt;0,SUMIFS('AR Data (NetSuite)'!H2:H63,'AR Data (NetSuite)'!E2:E63,"*Seg C*",'AR Data (NetSuite)'!L2:L63,13),IF(13&gt;Assumptions!$B$8,11800,0))</f>
        <v>11800</v>
      </c>
      <c r="P9" s="47" t="n">
        <f aca="false">IF(SUMIFS('AR Data (NetSuite)'!H2:H63,'AR Data (NetSuite)'!E2:E63,"*Seg C*",'AR Data (NetSuite)'!L2:L63,14)&gt;0,SUMIFS('AR Data (NetSuite)'!H2:H63,'AR Data (NetSuite)'!E2:E63,"*Seg C*",'AR Data (NetSuite)'!L2:L63,14),IF(14&gt;Assumptions!$B$8,14200,0))</f>
        <v>14200</v>
      </c>
      <c r="Q9" s="47" t="n">
        <f aca="false">IF(SUMIFS('AR Data (NetSuite)'!H2:H63,'AR Data (NetSuite)'!E2:E63,"*Seg C*",'AR Data (NetSuite)'!L2:L63,15)&gt;0,SUMIFS('AR Data (NetSuite)'!H2:H63,'AR Data (NetSuite)'!E2:E63,"*Seg C*",'AR Data (NetSuite)'!L2:L63,15),IF(15&gt;Assumptions!$B$8,9600,0))</f>
        <v>9600</v>
      </c>
      <c r="R9" s="47" t="n">
        <f aca="false">IF(SUMIFS('AR Data (NetSuite)'!H2:H63,'AR Data (NetSuite)'!E2:E63,"*Seg C*",'AR Data (NetSuite)'!L2:L63,16)&gt;0,SUMIFS('AR Data (NetSuite)'!H2:H63,'AR Data (NetSuite)'!E2:E63,"*Seg C*",'AR Data (NetSuite)'!L2:L63,16),IF(16&gt;Assumptions!$B$8,12400,0))</f>
        <v>12400</v>
      </c>
      <c r="S9" s="48" t="n">
        <f aca="false">IF(SUMIFS('AR Data (NetSuite)'!H2:H63,'AR Data (NetSuite)'!E2:E63,"*Seg C*",'AR Data (NetSuite)'!L2:L63,17)&gt;0,SUMIFS('AR Data (NetSuite)'!H2:H63,'AR Data (NetSuite)'!E2:E63,"*Seg C*",'AR Data (NetSuite)'!L2:L63,17),IF(17&gt;Assumptions!$B$8,10800,0))</f>
        <v>10800</v>
      </c>
      <c r="T9" s="49" t="n">
        <f aca="false">IF(SUMIFS('AR Data (NetSuite)'!H2:H63,'AR Data (NetSuite)'!E2:E63,"*Seg C*",'AR Data (NetSuite)'!L2:L63,18)&gt;0,SUMIFS('AR Data (NetSuite)'!H2:H63,'AR Data (NetSuite)'!E2:E63,"*Seg C*",'AR Data (NetSuite)'!L2:L63,18),IF(18&gt;Assumptions!$B$8,15300,0))</f>
        <v>15300</v>
      </c>
      <c r="U9" s="49" t="n">
        <f aca="false">IF(SUMIFS('AR Data (NetSuite)'!H2:H63,'AR Data (NetSuite)'!E2:E63,"*Seg C*",'AR Data (NetSuite)'!L2:L63,19)&gt;0,SUMIFS('AR Data (NetSuite)'!H2:H63,'AR Data (NetSuite)'!E2:E63,"*Seg C*",'AR Data (NetSuite)'!L2:L63,19),IF(19&gt;Assumptions!$B$8,11200,0))</f>
        <v>11200</v>
      </c>
      <c r="V9" s="49" t="n">
        <f aca="false">IF(SUMIFS('AR Data (NetSuite)'!H2:H63,'AR Data (NetSuite)'!E2:E63,"*Seg C*",'AR Data (NetSuite)'!L2:L63,20)&gt;0,SUMIFS('AR Data (NetSuite)'!H2:H63,'AR Data (NetSuite)'!E2:E63,"*Seg C*",'AR Data (NetSuite)'!L2:L63,20),IF(20&gt;Assumptions!$B$8,13600,0))</f>
        <v>13600</v>
      </c>
      <c r="W9" s="49" t="n">
        <f aca="false">IF(SUMIFS('AR Data (NetSuite)'!H2:H63,'AR Data (NetSuite)'!E2:E63,"*Seg C*",'AR Data (NetSuite)'!L2:L63,21)&gt;0,SUMIFS('AR Data (NetSuite)'!H2:H63,'AR Data (NetSuite)'!E2:E63,"*Seg C*",'AR Data (NetSuite)'!L2:L63,21),IF(21&gt;Assumptions!$B$8,10400,0))</f>
        <v>10400</v>
      </c>
      <c r="X9" s="49" t="n">
        <f aca="false">IF(SUMIFS('AR Data (NetSuite)'!H2:H63,'AR Data (NetSuite)'!E2:E63,"*Seg C*",'AR Data (NetSuite)'!L2:L63,22)&gt;0,SUMIFS('AR Data (NetSuite)'!H2:H63,'AR Data (NetSuite)'!E2:E63,"*Seg C*",'AR Data (NetSuite)'!L2:L63,22),IF(22&gt;Assumptions!$B$8,16800,0))</f>
        <v>16800</v>
      </c>
      <c r="Y9" s="49" t="n">
        <f aca="false">IF(SUMIFS('AR Data (NetSuite)'!H2:H63,'AR Data (NetSuite)'!E2:E63,"*Seg C*",'AR Data (NetSuite)'!L2:L63,23)&gt;0,SUMIFS('AR Data (NetSuite)'!H2:H63,'AR Data (NetSuite)'!E2:E63,"*Seg C*",'AR Data (NetSuite)'!L2:L63,23),IF(23&gt;Assumptions!$B$8,11500,0))</f>
        <v>11500</v>
      </c>
      <c r="Z9" s="49" t="n">
        <f aca="false">IF(SUMIFS('AR Data (NetSuite)'!H2:H63,'AR Data (NetSuite)'!E2:E63,"*Seg C*",'AR Data (NetSuite)'!L2:L63,24)&gt;0,SUMIFS('AR Data (NetSuite)'!H2:H63,'AR Data (NetSuite)'!E2:E63,"*Seg C*",'AR Data (NetSuite)'!L2:L63,24),IF(24&gt;Assumptions!$B$8,14100,0))</f>
        <v>14100</v>
      </c>
      <c r="AA9" s="49" t="n">
        <f aca="false">IF(SUMIFS('AR Data (NetSuite)'!H2:H63,'AR Data (NetSuite)'!E2:E63,"*Seg C*",'AR Data (NetSuite)'!L2:L63,25)&gt;0,SUMIFS('AR Data (NetSuite)'!H2:H63,'AR Data (NetSuite)'!E2:E63,"*Seg C*",'AR Data (NetSuite)'!L2:L63,25),IF(25&gt;Assumptions!$B$8,12200,0))</f>
        <v>12200</v>
      </c>
      <c r="AB9" s="49" t="n">
        <f aca="false">IF(SUMIFS('AR Data (NetSuite)'!H2:H63,'AR Data (NetSuite)'!E2:E63,"*Seg C*",'AR Data (NetSuite)'!L2:L63,26)&gt;0,SUMIFS('AR Data (NetSuite)'!H2:H63,'AR Data (NetSuite)'!E2:E63,"*Seg C*",'AR Data (NetSuite)'!L2:L63,26),IF(26&gt;Assumptions!$B$8,17400,0))</f>
        <v>17400</v>
      </c>
    </row>
    <row r="10" customFormat="false" ht="18" hidden="false" customHeight="true" outlineLevel="0" collapsed="false">
      <c r="A10" s="50" t="s">
        <v>375</v>
      </c>
      <c r="B10" s="51" t="n">
        <f aca="false">SUM(C10:AB10)</f>
        <v>6092600</v>
      </c>
      <c r="C10" s="52" t="n">
        <f aca="false">C7+C8+C9</f>
        <v>470100</v>
      </c>
      <c r="D10" s="52" t="n">
        <f aca="false">D7+D8+D9</f>
        <v>487500</v>
      </c>
      <c r="E10" s="52" t="n">
        <f aca="false">E7+E8+E9</f>
        <v>506600</v>
      </c>
      <c r="F10" s="52" t="n">
        <f aca="false">F7+F8+F9</f>
        <v>469000</v>
      </c>
      <c r="G10" s="52" t="n">
        <f aca="false">G7+G8+G9</f>
        <v>142800</v>
      </c>
      <c r="H10" s="52" t="n">
        <f aca="false">H7+H8+H9</f>
        <v>117000</v>
      </c>
      <c r="I10" s="52" t="n">
        <f aca="false">I7+I8+I9</f>
        <v>148200</v>
      </c>
      <c r="J10" s="52" t="n">
        <f aca="false">J7+J8+J9</f>
        <v>495700</v>
      </c>
      <c r="K10" s="52" t="n">
        <f aca="false">K7+K8+K9</f>
        <v>220700</v>
      </c>
      <c r="L10" s="52" t="n">
        <f aca="false">L7+L8+L9</f>
        <v>358600</v>
      </c>
      <c r="M10" s="52" t="n">
        <f aca="false">M7+M8+M9</f>
        <v>0</v>
      </c>
      <c r="N10" s="52" t="n">
        <f aca="false">N7+N8+N9</f>
        <v>83200</v>
      </c>
      <c r="O10" s="52" t="n">
        <f aca="false">O7+O8+O9</f>
        <v>290200</v>
      </c>
      <c r="P10" s="52" t="n">
        <f aca="false">P7+P8+P9</f>
        <v>273700</v>
      </c>
      <c r="Q10" s="52" t="n">
        <f aca="false">Q7+Q8+Q9</f>
        <v>72000</v>
      </c>
      <c r="R10" s="52" t="n">
        <f aca="false">R7+R8+R9</f>
        <v>60300</v>
      </c>
      <c r="S10" s="53" t="n">
        <f aca="false">S7+S8+S9</f>
        <v>239800</v>
      </c>
      <c r="T10" s="54" t="n">
        <f aca="false">T7+T8+T9</f>
        <v>309000</v>
      </c>
      <c r="U10" s="54" t="n">
        <f aca="false">U7+U8+U9</f>
        <v>119100</v>
      </c>
      <c r="V10" s="54" t="n">
        <f aca="false">V7+V8+V9</f>
        <v>13600</v>
      </c>
      <c r="W10" s="54" t="n">
        <f aca="false">W7+W8+W9</f>
        <v>229200</v>
      </c>
      <c r="X10" s="54" t="n">
        <f aca="false">X7+X8+X9</f>
        <v>299200</v>
      </c>
      <c r="Y10" s="54" t="n">
        <f aca="false">Y7+Y8+Y9</f>
        <v>123600</v>
      </c>
      <c r="Z10" s="54" t="n">
        <f aca="false">Z7+Z8+Z9</f>
        <v>14100</v>
      </c>
      <c r="AA10" s="54" t="n">
        <f aca="false">AA7+AA8+AA9</f>
        <v>225900</v>
      </c>
      <c r="AB10" s="54" t="n">
        <f aca="false">AB7+AB8+AB9</f>
        <v>323500</v>
      </c>
    </row>
    <row r="11" customFormat="false" ht="15.75" hidden="false" customHeight="true" outlineLevel="0" collapsed="false">
      <c r="A11" s="15" t="s">
        <v>376</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row>
    <row r="12" customFormat="false" ht="15.75" hidden="false" customHeight="true" outlineLevel="0" collapsed="false">
      <c r="A12" s="45" t="s">
        <v>377</v>
      </c>
      <c r="B12" s="46" t="n">
        <f aca="false">SUM(C12:AB12)</f>
        <v>1650000</v>
      </c>
      <c r="C12" s="47" t="n">
        <f aca="false">IF(SUMIFS('AP Data (NetSuite)'!H2:H97,'AP Data (NetSuite)'!E2:E97,"*Payroll*",'AP Data (NetSuite)'!L2:L97,1)&gt;0,SUMIFS('AP Data (NetSuite)'!H2:H97,'AP Data (NetSuite)'!E2:E97,"*Payroll*",'AP Data (NetSuite)'!L2:L97,1),IF(1&gt;Assumptions!$B$8,0,0))</f>
        <v>82500</v>
      </c>
      <c r="D12" s="47" t="n">
        <f aca="false">IF(SUMIFS('AP Data (NetSuite)'!H2:H97,'AP Data (NetSuite)'!E2:E97,"*Payroll*",'AP Data (NetSuite)'!L2:L97,2)&gt;0,SUMIFS('AP Data (NetSuite)'!H2:H97,'AP Data (NetSuite)'!E2:E97,"*Payroll*",'AP Data (NetSuite)'!L2:L97,2),IF(2&gt;Assumptions!$B$8,0,0))</f>
        <v>0</v>
      </c>
      <c r="E12" s="47" t="n">
        <f aca="false">IF(SUMIFS('AP Data (NetSuite)'!H2:H97,'AP Data (NetSuite)'!E2:E97,"*Payroll*",'AP Data (NetSuite)'!L2:L97,3)&gt;0,SUMIFS('AP Data (NetSuite)'!H2:H97,'AP Data (NetSuite)'!E2:E97,"*Payroll*",'AP Data (NetSuite)'!L2:L97,3),IF(3&gt;Assumptions!$B$8,0,0))</f>
        <v>82500</v>
      </c>
      <c r="F12" s="47" t="n">
        <f aca="false">IF(SUMIFS('AP Data (NetSuite)'!H2:H97,'AP Data (NetSuite)'!E2:E97,"*Payroll*",'AP Data (NetSuite)'!L2:L97,4)&gt;0,SUMIFS('AP Data (NetSuite)'!H2:H97,'AP Data (NetSuite)'!E2:E97,"*Payroll*",'AP Data (NetSuite)'!L2:L97,4),IF(4&gt;Assumptions!$B$8,0,0))</f>
        <v>0</v>
      </c>
      <c r="G12" s="47" t="n">
        <f aca="false">IF(SUMIFS('AP Data (NetSuite)'!H2:H97,'AP Data (NetSuite)'!E2:E97,"*Payroll*",'AP Data (NetSuite)'!L2:L97,5)&gt;0,SUMIFS('AP Data (NetSuite)'!H2:H97,'AP Data (NetSuite)'!E2:E97,"*Payroll*",'AP Data (NetSuite)'!L2:L97,5),IF(5&gt;Assumptions!$B$8,0,0))</f>
        <v>82500</v>
      </c>
      <c r="H12" s="47" t="n">
        <f aca="false">IF(SUMIFS('AP Data (NetSuite)'!H2:H97,'AP Data (NetSuite)'!E2:E97,"*Payroll*",'AP Data (NetSuite)'!L2:L97,6)&gt;0,SUMIFS('AP Data (NetSuite)'!H2:H97,'AP Data (NetSuite)'!E2:E97,"*Payroll*",'AP Data (NetSuite)'!L2:L97,6),IF(6&gt;Assumptions!$B$8,0,0))</f>
        <v>0</v>
      </c>
      <c r="I12" s="47" t="n">
        <f aca="false">IF(SUMIFS('AP Data (NetSuite)'!H2:H97,'AP Data (NetSuite)'!E2:E97,"*Payroll*",'AP Data (NetSuite)'!L2:L97,7)&gt;0,SUMIFS('AP Data (NetSuite)'!H2:H97,'AP Data (NetSuite)'!E2:E97,"*Payroll*",'AP Data (NetSuite)'!L2:L97,7),IF(7&gt;Assumptions!$B$8,0,0))</f>
        <v>82500</v>
      </c>
      <c r="J12" s="47" t="n">
        <f aca="false">IF(SUMIFS('AP Data (NetSuite)'!H2:H97,'AP Data (NetSuite)'!E2:E97,"*Payroll*",'AP Data (NetSuite)'!L2:L97,8)&gt;0,SUMIFS('AP Data (NetSuite)'!H2:H97,'AP Data (NetSuite)'!E2:E97,"*Payroll*",'AP Data (NetSuite)'!L2:L97,8),IF(8&gt;Assumptions!$B$8,0,0))</f>
        <v>0</v>
      </c>
      <c r="K12" s="47" t="n">
        <f aca="false">IF(SUMIFS('AP Data (NetSuite)'!H2:H97,'AP Data (NetSuite)'!E2:E97,"*Payroll*",'AP Data (NetSuite)'!L2:L97,9)&gt;0,SUMIFS('AP Data (NetSuite)'!H2:H97,'AP Data (NetSuite)'!E2:E97,"*Payroll*",'AP Data (NetSuite)'!L2:L97,9),IF(9&gt;Assumptions!$B$8,0,0))</f>
        <v>82500</v>
      </c>
      <c r="L12" s="47" t="n">
        <f aca="false">IF(SUMIFS('AP Data (NetSuite)'!H2:H97,'AP Data (NetSuite)'!E2:E97,"*Payroll*",'AP Data (NetSuite)'!L2:L97,10)&gt;0,SUMIFS('AP Data (NetSuite)'!H2:H97,'AP Data (NetSuite)'!E2:E97,"*Payroll*",'AP Data (NetSuite)'!L2:L97,10),IF(10&gt;Assumptions!$B$8,0,0))</f>
        <v>0</v>
      </c>
      <c r="M12" s="47" t="n">
        <f aca="false">IF(SUMIFS('AP Data (NetSuite)'!H2:H97,'AP Data (NetSuite)'!E2:E97,"*Payroll*",'AP Data (NetSuite)'!L2:L97,11)&gt;0,SUMIFS('AP Data (NetSuite)'!H2:H97,'AP Data (NetSuite)'!E2:E97,"*Payroll*",'AP Data (NetSuite)'!L2:L97,11),IF(11&gt;Assumptions!$B$8,0,0))</f>
        <v>82500</v>
      </c>
      <c r="N12" s="47" t="n">
        <f aca="false">IF(SUMIFS('AP Data (NetSuite)'!H2:H97,'AP Data (NetSuite)'!E2:E97,"*Payroll*",'AP Data (NetSuite)'!L2:L97,12)&gt;0,SUMIFS('AP Data (NetSuite)'!H2:H97,'AP Data (NetSuite)'!E2:E97,"*Payroll*",'AP Data (NetSuite)'!L2:L97,12),IF(12&gt;Assumptions!$B$8,0,0))</f>
        <v>0</v>
      </c>
      <c r="O12" s="47" t="n">
        <f aca="false">IF(SUMIFS('AP Data (NetSuite)'!H2:H97,'AP Data (NetSuite)'!E2:E97,"*Payroll*",'AP Data (NetSuite)'!L2:L97,13)&gt;0,SUMIFS('AP Data (NetSuite)'!H2:H97,'AP Data (NetSuite)'!E2:E97,"*Payroll*",'AP Data (NetSuite)'!L2:L97,13),IF(13&gt;Assumptions!$B$8,165000,0))</f>
        <v>165000</v>
      </c>
      <c r="P12" s="47" t="n">
        <f aca="false">IF(SUMIFS('AP Data (NetSuite)'!H2:H97,'AP Data (NetSuite)'!E2:E97,"*Payroll*",'AP Data (NetSuite)'!L2:L97,14)&gt;0,SUMIFS('AP Data (NetSuite)'!H2:H97,'AP Data (NetSuite)'!E2:E97,"*Payroll*",'AP Data (NetSuite)'!L2:L97,14),IF(14&gt;Assumptions!$B$8,0,0))</f>
        <v>0</v>
      </c>
      <c r="Q12" s="47" t="n">
        <f aca="false">IF(SUMIFS('AP Data (NetSuite)'!H2:H97,'AP Data (NetSuite)'!E2:E97,"*Payroll*",'AP Data (NetSuite)'!L2:L97,15)&gt;0,SUMIFS('AP Data (NetSuite)'!H2:H97,'AP Data (NetSuite)'!E2:E97,"*Payroll*",'AP Data (NetSuite)'!L2:L97,15),IF(15&gt;Assumptions!$B$8,165000,0))</f>
        <v>165000</v>
      </c>
      <c r="R12" s="47" t="n">
        <f aca="false">IF(SUMIFS('AP Data (NetSuite)'!H2:H97,'AP Data (NetSuite)'!E2:E97,"*Payroll*",'AP Data (NetSuite)'!L2:L97,16)&gt;0,SUMIFS('AP Data (NetSuite)'!H2:H97,'AP Data (NetSuite)'!E2:E97,"*Payroll*",'AP Data (NetSuite)'!L2:L97,16),IF(16&gt;Assumptions!$B$8,0,0))</f>
        <v>0</v>
      </c>
      <c r="S12" s="48" t="n">
        <f aca="false">IF(SUMIFS('AP Data (NetSuite)'!H2:H97,'AP Data (NetSuite)'!E2:E97,"*Payroll*",'AP Data (NetSuite)'!L2:L97,17)&gt;0,SUMIFS('AP Data (NetSuite)'!H2:H97,'AP Data (NetSuite)'!E2:E97,"*Payroll*",'AP Data (NetSuite)'!L2:L97,17),IF(17&gt;Assumptions!$B$8,165000,0))</f>
        <v>165000</v>
      </c>
      <c r="T12" s="49" t="n">
        <f aca="false">IF(SUMIFS('AP Data (NetSuite)'!H2:H97,'AP Data (NetSuite)'!E2:E97,"*Payroll*",'AP Data (NetSuite)'!L2:L97,18)&gt;0,SUMIFS('AP Data (NetSuite)'!H2:H97,'AP Data (NetSuite)'!E2:E97,"*Payroll*",'AP Data (NetSuite)'!L2:L97,18),IF(18&gt;Assumptions!$B$8,0,0))</f>
        <v>0</v>
      </c>
      <c r="U12" s="49" t="n">
        <f aca="false">IF(SUMIFS('AP Data (NetSuite)'!H2:H97,'AP Data (NetSuite)'!E2:E97,"*Payroll*",'AP Data (NetSuite)'!L2:L97,19)&gt;0,SUMIFS('AP Data (NetSuite)'!H2:H97,'AP Data (NetSuite)'!E2:E97,"*Payroll*",'AP Data (NetSuite)'!L2:L97,19),IF(19&gt;Assumptions!$B$8,165000,0))</f>
        <v>165000</v>
      </c>
      <c r="V12" s="49" t="n">
        <f aca="false">IF(SUMIFS('AP Data (NetSuite)'!H2:H97,'AP Data (NetSuite)'!E2:E97,"*Payroll*",'AP Data (NetSuite)'!L2:L97,20)&gt;0,SUMIFS('AP Data (NetSuite)'!H2:H97,'AP Data (NetSuite)'!E2:E97,"*Payroll*",'AP Data (NetSuite)'!L2:L97,20),IF(20&gt;Assumptions!$B$8,0,0))</f>
        <v>0</v>
      </c>
      <c r="W12" s="49" t="n">
        <f aca="false">IF(SUMIFS('AP Data (NetSuite)'!H2:H97,'AP Data (NetSuite)'!E2:E97,"*Payroll*",'AP Data (NetSuite)'!L2:L97,21)&gt;0,SUMIFS('AP Data (NetSuite)'!H2:H97,'AP Data (NetSuite)'!E2:E97,"*Payroll*",'AP Data (NetSuite)'!L2:L97,21),IF(21&gt;Assumptions!$B$8,165000,0))</f>
        <v>165000</v>
      </c>
      <c r="X12" s="49" t="n">
        <f aca="false">IF(SUMIFS('AP Data (NetSuite)'!H2:H97,'AP Data (NetSuite)'!E2:E97,"*Payroll*",'AP Data (NetSuite)'!L2:L97,22)&gt;0,SUMIFS('AP Data (NetSuite)'!H2:H97,'AP Data (NetSuite)'!E2:E97,"*Payroll*",'AP Data (NetSuite)'!L2:L97,22),IF(22&gt;Assumptions!$B$8,0,0))</f>
        <v>0</v>
      </c>
      <c r="Y12" s="49" t="n">
        <f aca="false">IF(SUMIFS('AP Data (NetSuite)'!H2:H97,'AP Data (NetSuite)'!E2:E97,"*Payroll*",'AP Data (NetSuite)'!L2:L97,23)&gt;0,SUMIFS('AP Data (NetSuite)'!H2:H97,'AP Data (NetSuite)'!E2:E97,"*Payroll*",'AP Data (NetSuite)'!L2:L97,23),IF(23&gt;Assumptions!$B$8,165000,0))</f>
        <v>165000</v>
      </c>
      <c r="Z12" s="49" t="n">
        <f aca="false">IF(SUMIFS('AP Data (NetSuite)'!H2:H97,'AP Data (NetSuite)'!E2:E97,"*Payroll*",'AP Data (NetSuite)'!L2:L97,24)&gt;0,SUMIFS('AP Data (NetSuite)'!H2:H97,'AP Data (NetSuite)'!E2:E97,"*Payroll*",'AP Data (NetSuite)'!L2:L97,24),IF(24&gt;Assumptions!$B$8,0,0))</f>
        <v>0</v>
      </c>
      <c r="AA12" s="49" t="n">
        <f aca="false">IF(SUMIFS('AP Data (NetSuite)'!H2:H97,'AP Data (NetSuite)'!E2:E97,"*Payroll*",'AP Data (NetSuite)'!L2:L97,25)&gt;0,SUMIFS('AP Data (NetSuite)'!H2:H97,'AP Data (NetSuite)'!E2:E97,"*Payroll*",'AP Data (NetSuite)'!L2:L97,25),IF(25&gt;Assumptions!$B$8,165000,0))</f>
        <v>165000</v>
      </c>
      <c r="AB12" s="49" t="n">
        <f aca="false">IF(SUMIFS('AP Data (NetSuite)'!H2:H97,'AP Data (NetSuite)'!E2:E97,"*Payroll*",'AP Data (NetSuite)'!L2:L97,26)&gt;0,SUMIFS('AP Data (NetSuite)'!H2:H97,'AP Data (NetSuite)'!E2:E97,"*Payroll*",'AP Data (NetSuite)'!L2:L97,26),IF(26&gt;Assumptions!$B$8,0,0))</f>
        <v>0</v>
      </c>
    </row>
    <row r="13" customFormat="false" ht="15.75" hidden="false" customHeight="true" outlineLevel="0" collapsed="false">
      <c r="A13" s="45" t="s">
        <v>378</v>
      </c>
      <c r="B13" s="46" t="n">
        <f aca="false">SUM(C13:AB13)</f>
        <v>99400</v>
      </c>
      <c r="C13" s="47" t="n">
        <f aca="false">IF(SUMIFS('AP Data (NetSuite)'!H2:H97,'AP Data (NetSuite)'!E2:E97,"*Tax*",'AP Data (NetSuite)'!L2:L97,1)&gt;0,SUMIFS('AP Data (NetSuite)'!H2:H97,'AP Data (NetSuite)'!E2:E97,"*Tax*",'AP Data (NetSuite)'!L2:L97,1),IF(1&gt;Assumptions!$B$8,0,0))</f>
        <v>14200</v>
      </c>
      <c r="D13" s="47" t="n">
        <f aca="false">IF(SUMIFS('AP Data (NetSuite)'!H2:H97,'AP Data (NetSuite)'!E2:E97,"*Tax*",'AP Data (NetSuite)'!L2:L97,2)&gt;0,SUMIFS('AP Data (NetSuite)'!H2:H97,'AP Data (NetSuite)'!E2:E97,"*Tax*",'AP Data (NetSuite)'!L2:L97,2),IF(2&gt;Assumptions!$B$8,0,0))</f>
        <v>0</v>
      </c>
      <c r="E13" s="47" t="n">
        <f aca="false">IF(SUMIFS('AP Data (NetSuite)'!H2:H97,'AP Data (NetSuite)'!E2:E97,"*Tax*",'AP Data (NetSuite)'!L2:L97,3)&gt;0,SUMIFS('AP Data (NetSuite)'!H2:H97,'AP Data (NetSuite)'!E2:E97,"*Tax*",'AP Data (NetSuite)'!L2:L97,3),IF(3&gt;Assumptions!$B$8,0,0))</f>
        <v>0</v>
      </c>
      <c r="F13" s="47" t="n">
        <f aca="false">IF(SUMIFS('AP Data (NetSuite)'!H2:H97,'AP Data (NetSuite)'!E2:E97,"*Tax*",'AP Data (NetSuite)'!L2:L97,4)&gt;0,SUMIFS('AP Data (NetSuite)'!H2:H97,'AP Data (NetSuite)'!E2:E97,"*Tax*",'AP Data (NetSuite)'!L2:L97,4),IF(4&gt;Assumptions!$B$8,0,0))</f>
        <v>0</v>
      </c>
      <c r="G13" s="47" t="n">
        <f aca="false">IF(SUMIFS('AP Data (NetSuite)'!H2:H97,'AP Data (NetSuite)'!E2:E97,"*Tax*",'AP Data (NetSuite)'!L2:L97,5)&gt;0,SUMIFS('AP Data (NetSuite)'!H2:H97,'AP Data (NetSuite)'!E2:E97,"*Tax*",'AP Data (NetSuite)'!L2:L97,5),IF(5&gt;Assumptions!$B$8,0,0))</f>
        <v>14200</v>
      </c>
      <c r="H13" s="47" t="n">
        <f aca="false">IF(SUMIFS('AP Data (NetSuite)'!H2:H97,'AP Data (NetSuite)'!E2:E97,"*Tax*",'AP Data (NetSuite)'!L2:L97,6)&gt;0,SUMIFS('AP Data (NetSuite)'!H2:H97,'AP Data (NetSuite)'!E2:E97,"*Tax*",'AP Data (NetSuite)'!L2:L97,6),IF(6&gt;Assumptions!$B$8,0,0))</f>
        <v>0</v>
      </c>
      <c r="I13" s="47" t="n">
        <f aca="false">IF(SUMIFS('AP Data (NetSuite)'!H2:H97,'AP Data (NetSuite)'!E2:E97,"*Tax*",'AP Data (NetSuite)'!L2:L97,7)&gt;0,SUMIFS('AP Data (NetSuite)'!H2:H97,'AP Data (NetSuite)'!E2:E97,"*Tax*",'AP Data (NetSuite)'!L2:L97,7),IF(7&gt;Assumptions!$B$8,0,0))</f>
        <v>0</v>
      </c>
      <c r="J13" s="47" t="n">
        <f aca="false">IF(SUMIFS('AP Data (NetSuite)'!H2:H97,'AP Data (NetSuite)'!E2:E97,"*Tax*",'AP Data (NetSuite)'!L2:L97,8)&gt;0,SUMIFS('AP Data (NetSuite)'!H2:H97,'AP Data (NetSuite)'!E2:E97,"*Tax*",'AP Data (NetSuite)'!L2:L97,8),IF(8&gt;Assumptions!$B$8,0,0))</f>
        <v>0</v>
      </c>
      <c r="K13" s="47" t="n">
        <f aca="false">IF(SUMIFS('AP Data (NetSuite)'!H2:H97,'AP Data (NetSuite)'!E2:E97,"*Tax*",'AP Data (NetSuite)'!L2:L97,9)&gt;0,SUMIFS('AP Data (NetSuite)'!H2:H97,'AP Data (NetSuite)'!E2:E97,"*Tax*",'AP Data (NetSuite)'!L2:L97,9),IF(9&gt;Assumptions!$B$8,0,0))</f>
        <v>14200</v>
      </c>
      <c r="L13" s="47" t="n">
        <f aca="false">IF(SUMIFS('AP Data (NetSuite)'!H2:H97,'AP Data (NetSuite)'!E2:E97,"*Tax*",'AP Data (NetSuite)'!L2:L97,10)&gt;0,SUMIFS('AP Data (NetSuite)'!H2:H97,'AP Data (NetSuite)'!E2:E97,"*Tax*",'AP Data (NetSuite)'!L2:L97,10),IF(10&gt;Assumptions!$B$8,0,0))</f>
        <v>0</v>
      </c>
      <c r="M13" s="47" t="n">
        <f aca="false">IF(SUMIFS('AP Data (NetSuite)'!H2:H97,'AP Data (NetSuite)'!E2:E97,"*Tax*",'AP Data (NetSuite)'!L2:L97,11)&gt;0,SUMIFS('AP Data (NetSuite)'!H2:H97,'AP Data (NetSuite)'!E2:E97,"*Tax*",'AP Data (NetSuite)'!L2:L97,11),IF(11&gt;Assumptions!$B$8,0,0))</f>
        <v>0</v>
      </c>
      <c r="N13" s="47" t="n">
        <f aca="false">IF(SUMIFS('AP Data (NetSuite)'!H2:H97,'AP Data (NetSuite)'!E2:E97,"*Tax*",'AP Data (NetSuite)'!L2:L97,12)&gt;0,SUMIFS('AP Data (NetSuite)'!H2:H97,'AP Data (NetSuite)'!E2:E97,"*Tax*",'AP Data (NetSuite)'!L2:L97,12),IF(12&gt;Assumptions!$B$8,0,0))</f>
        <v>0</v>
      </c>
      <c r="O13" s="47" t="n">
        <f aca="false">IF(SUMIFS('AP Data (NetSuite)'!H2:H97,'AP Data (NetSuite)'!E2:E97,"*Tax*",'AP Data (NetSuite)'!L2:L97,13)&gt;0,SUMIFS('AP Data (NetSuite)'!H2:H97,'AP Data (NetSuite)'!E2:E97,"*Tax*",'AP Data (NetSuite)'!L2:L97,13),IF(13&gt;Assumptions!$B$8,14200,0))</f>
        <v>14200</v>
      </c>
      <c r="P13" s="47" t="n">
        <f aca="false">IF(SUMIFS('AP Data (NetSuite)'!H2:H97,'AP Data (NetSuite)'!E2:E97,"*Tax*",'AP Data (NetSuite)'!L2:L97,14)&gt;0,SUMIFS('AP Data (NetSuite)'!H2:H97,'AP Data (NetSuite)'!E2:E97,"*Tax*",'AP Data (NetSuite)'!L2:L97,14),IF(14&gt;Assumptions!$B$8,0,0))</f>
        <v>0</v>
      </c>
      <c r="Q13" s="47" t="n">
        <f aca="false">IF(SUMIFS('AP Data (NetSuite)'!H2:H97,'AP Data (NetSuite)'!E2:E97,"*Tax*",'AP Data (NetSuite)'!L2:L97,15)&gt;0,SUMIFS('AP Data (NetSuite)'!H2:H97,'AP Data (NetSuite)'!E2:E97,"*Tax*",'AP Data (NetSuite)'!L2:L97,15),IF(15&gt;Assumptions!$B$8,0,0))</f>
        <v>0</v>
      </c>
      <c r="R13" s="47" t="n">
        <f aca="false">IF(SUMIFS('AP Data (NetSuite)'!H2:H97,'AP Data (NetSuite)'!E2:E97,"*Tax*",'AP Data (NetSuite)'!L2:L97,16)&gt;0,SUMIFS('AP Data (NetSuite)'!H2:H97,'AP Data (NetSuite)'!E2:E97,"*Tax*",'AP Data (NetSuite)'!L2:L97,16),IF(16&gt;Assumptions!$B$8,0,0))</f>
        <v>0</v>
      </c>
      <c r="S13" s="48" t="n">
        <f aca="false">IF(SUMIFS('AP Data (NetSuite)'!H2:H97,'AP Data (NetSuite)'!E2:E97,"*Tax*",'AP Data (NetSuite)'!L2:L97,17)&gt;0,SUMIFS('AP Data (NetSuite)'!H2:H97,'AP Data (NetSuite)'!E2:E97,"*Tax*",'AP Data (NetSuite)'!L2:L97,17),IF(17&gt;Assumptions!$B$8,14200,0))</f>
        <v>14200</v>
      </c>
      <c r="T13" s="49" t="n">
        <f aca="false">IF(SUMIFS('AP Data (NetSuite)'!H2:H97,'AP Data (NetSuite)'!E2:E97,"*Tax*",'AP Data (NetSuite)'!L2:L97,18)&gt;0,SUMIFS('AP Data (NetSuite)'!H2:H97,'AP Data (NetSuite)'!E2:E97,"*Tax*",'AP Data (NetSuite)'!L2:L97,18),IF(18&gt;Assumptions!$B$8,0,0))</f>
        <v>0</v>
      </c>
      <c r="U13" s="49" t="n">
        <f aca="false">IF(SUMIFS('AP Data (NetSuite)'!H2:H97,'AP Data (NetSuite)'!E2:E97,"*Tax*",'AP Data (NetSuite)'!L2:L97,19)&gt;0,SUMIFS('AP Data (NetSuite)'!H2:H97,'AP Data (NetSuite)'!E2:E97,"*Tax*",'AP Data (NetSuite)'!L2:L97,19),IF(19&gt;Assumptions!$B$8,0,0))</f>
        <v>0</v>
      </c>
      <c r="V13" s="49" t="n">
        <f aca="false">IF(SUMIFS('AP Data (NetSuite)'!H2:H97,'AP Data (NetSuite)'!E2:E97,"*Tax*",'AP Data (NetSuite)'!L2:L97,20)&gt;0,SUMIFS('AP Data (NetSuite)'!H2:H97,'AP Data (NetSuite)'!E2:E97,"*Tax*",'AP Data (NetSuite)'!L2:L97,20),IF(20&gt;Assumptions!$B$8,0,0))</f>
        <v>0</v>
      </c>
      <c r="W13" s="49" t="n">
        <f aca="false">IF(SUMIFS('AP Data (NetSuite)'!H2:H97,'AP Data (NetSuite)'!E2:E97,"*Tax*",'AP Data (NetSuite)'!L2:L97,21)&gt;0,SUMIFS('AP Data (NetSuite)'!H2:H97,'AP Data (NetSuite)'!E2:E97,"*Tax*",'AP Data (NetSuite)'!L2:L97,21),IF(21&gt;Assumptions!$B$8,14200,0))</f>
        <v>14200</v>
      </c>
      <c r="X13" s="49" t="n">
        <f aca="false">IF(SUMIFS('AP Data (NetSuite)'!H2:H97,'AP Data (NetSuite)'!E2:E97,"*Tax*",'AP Data (NetSuite)'!L2:L97,22)&gt;0,SUMIFS('AP Data (NetSuite)'!H2:H97,'AP Data (NetSuite)'!E2:E97,"*Tax*",'AP Data (NetSuite)'!L2:L97,22),IF(22&gt;Assumptions!$B$8,0,0))</f>
        <v>0</v>
      </c>
      <c r="Y13" s="49" t="n">
        <f aca="false">IF(SUMIFS('AP Data (NetSuite)'!H2:H97,'AP Data (NetSuite)'!E2:E97,"*Tax*",'AP Data (NetSuite)'!L2:L97,23)&gt;0,SUMIFS('AP Data (NetSuite)'!H2:H97,'AP Data (NetSuite)'!E2:E97,"*Tax*",'AP Data (NetSuite)'!L2:L97,23),IF(23&gt;Assumptions!$B$8,0,0))</f>
        <v>0</v>
      </c>
      <c r="Z13" s="49" t="n">
        <f aca="false">IF(SUMIFS('AP Data (NetSuite)'!H2:H97,'AP Data (NetSuite)'!E2:E97,"*Tax*",'AP Data (NetSuite)'!L2:L97,24)&gt;0,SUMIFS('AP Data (NetSuite)'!H2:H97,'AP Data (NetSuite)'!E2:E97,"*Tax*",'AP Data (NetSuite)'!L2:L97,24),IF(24&gt;Assumptions!$B$8,0,0))</f>
        <v>0</v>
      </c>
      <c r="AA13" s="49" t="n">
        <f aca="false">IF(SUMIFS('AP Data (NetSuite)'!H2:H97,'AP Data (NetSuite)'!E2:E97,"*Tax*",'AP Data (NetSuite)'!L2:L97,25)&gt;0,SUMIFS('AP Data (NetSuite)'!H2:H97,'AP Data (NetSuite)'!E2:E97,"*Tax*",'AP Data (NetSuite)'!L2:L97,25),IF(25&gt;Assumptions!$B$8,14200,0))</f>
        <v>14200</v>
      </c>
      <c r="AB13" s="49" t="n">
        <f aca="false">IF(SUMIFS('AP Data (NetSuite)'!H2:H97,'AP Data (NetSuite)'!E2:E97,"*Tax*",'AP Data (NetSuite)'!L2:L97,26)&gt;0,SUMIFS('AP Data (NetSuite)'!H2:H97,'AP Data (NetSuite)'!E2:E97,"*Tax*",'AP Data (NetSuite)'!L2:L97,26),IF(26&gt;Assumptions!$B$8,0,0))</f>
        <v>0</v>
      </c>
    </row>
    <row r="14" customFormat="false" ht="15.75" hidden="false" customHeight="true" outlineLevel="0" collapsed="false">
      <c r="A14" s="45" t="s">
        <v>379</v>
      </c>
      <c r="B14" s="46" t="n">
        <f aca="false">SUM(C14:AB14)</f>
        <v>0</v>
      </c>
      <c r="C14" s="47" t="n">
        <f aca="false">IF(SUMIFS('AP Data (NetSuite)'!H2:H97,'AP Data (NetSuite)'!E2:E97,"*Income*",'AP Data (NetSuite)'!L2:L97,1)&gt;0,SUMIFS('AP Data (NetSuite)'!H2:H97,'AP Data (NetSuite)'!E2:E97,"*Income*",'AP Data (NetSuite)'!L2:L97,1),IF(1&gt;Assumptions!$B$8,0,0))</f>
        <v>0</v>
      </c>
      <c r="D14" s="47" t="n">
        <f aca="false">IF(SUMIFS('AP Data (NetSuite)'!H2:H97,'AP Data (NetSuite)'!E2:E97,"*Income*",'AP Data (NetSuite)'!L2:L97,2)&gt;0,SUMIFS('AP Data (NetSuite)'!H2:H97,'AP Data (NetSuite)'!E2:E97,"*Income*",'AP Data (NetSuite)'!L2:L97,2),IF(2&gt;Assumptions!$B$8,0,0))</f>
        <v>0</v>
      </c>
      <c r="E14" s="47" t="n">
        <f aca="false">IF(SUMIFS('AP Data (NetSuite)'!H2:H97,'AP Data (NetSuite)'!E2:E97,"*Income*",'AP Data (NetSuite)'!L2:L97,3)&gt;0,SUMIFS('AP Data (NetSuite)'!H2:H97,'AP Data (NetSuite)'!E2:E97,"*Income*",'AP Data (NetSuite)'!L2:L97,3),IF(3&gt;Assumptions!$B$8,0,0))</f>
        <v>0</v>
      </c>
      <c r="F14" s="47" t="n">
        <f aca="false">IF(SUMIFS('AP Data (NetSuite)'!H2:H97,'AP Data (NetSuite)'!E2:E97,"*Income*",'AP Data (NetSuite)'!L2:L97,4)&gt;0,SUMIFS('AP Data (NetSuite)'!H2:H97,'AP Data (NetSuite)'!E2:E97,"*Income*",'AP Data (NetSuite)'!L2:L97,4),IF(4&gt;Assumptions!$B$8,0,0))</f>
        <v>0</v>
      </c>
      <c r="G14" s="47" t="n">
        <f aca="false">IF(SUMIFS('AP Data (NetSuite)'!H2:H97,'AP Data (NetSuite)'!E2:E97,"*Income*",'AP Data (NetSuite)'!L2:L97,5)&gt;0,SUMIFS('AP Data (NetSuite)'!H2:H97,'AP Data (NetSuite)'!E2:E97,"*Income*",'AP Data (NetSuite)'!L2:L97,5),IF(5&gt;Assumptions!$B$8,0,0))</f>
        <v>0</v>
      </c>
      <c r="H14" s="47" t="n">
        <f aca="false">IF(SUMIFS('AP Data (NetSuite)'!H2:H97,'AP Data (NetSuite)'!E2:E97,"*Income*",'AP Data (NetSuite)'!L2:L97,6)&gt;0,SUMIFS('AP Data (NetSuite)'!H2:H97,'AP Data (NetSuite)'!E2:E97,"*Income*",'AP Data (NetSuite)'!L2:L97,6),IF(6&gt;Assumptions!$B$8,0,0))</f>
        <v>0</v>
      </c>
      <c r="I14" s="47" t="n">
        <f aca="false">IF(SUMIFS('AP Data (NetSuite)'!H2:H97,'AP Data (NetSuite)'!E2:E97,"*Income*",'AP Data (NetSuite)'!L2:L97,7)&gt;0,SUMIFS('AP Data (NetSuite)'!H2:H97,'AP Data (NetSuite)'!E2:E97,"*Income*",'AP Data (NetSuite)'!L2:L97,7),IF(7&gt;Assumptions!$B$8,0,0))</f>
        <v>0</v>
      </c>
      <c r="J14" s="47" t="n">
        <f aca="false">IF(SUMIFS('AP Data (NetSuite)'!H2:H97,'AP Data (NetSuite)'!E2:E97,"*Income*",'AP Data (NetSuite)'!L2:L97,8)&gt;0,SUMIFS('AP Data (NetSuite)'!H2:H97,'AP Data (NetSuite)'!E2:E97,"*Income*",'AP Data (NetSuite)'!L2:L97,8),IF(8&gt;Assumptions!$B$8,0,0))</f>
        <v>0</v>
      </c>
      <c r="K14" s="47" t="n">
        <f aca="false">IF(SUMIFS('AP Data (NetSuite)'!H2:H97,'AP Data (NetSuite)'!E2:E97,"*Income*",'AP Data (NetSuite)'!L2:L97,9)&gt;0,SUMIFS('AP Data (NetSuite)'!H2:H97,'AP Data (NetSuite)'!E2:E97,"*Income*",'AP Data (NetSuite)'!L2:L97,9),IF(9&gt;Assumptions!$B$8,0,0))</f>
        <v>0</v>
      </c>
      <c r="L14" s="47" t="n">
        <f aca="false">IF(SUMIFS('AP Data (NetSuite)'!H2:H97,'AP Data (NetSuite)'!E2:E97,"*Income*",'AP Data (NetSuite)'!L2:L97,10)&gt;0,SUMIFS('AP Data (NetSuite)'!H2:H97,'AP Data (NetSuite)'!E2:E97,"*Income*",'AP Data (NetSuite)'!L2:L97,10),IF(10&gt;Assumptions!$B$8,0,0))</f>
        <v>0</v>
      </c>
      <c r="M14" s="47" t="n">
        <f aca="false">IF(SUMIFS('AP Data (NetSuite)'!H2:H97,'AP Data (NetSuite)'!E2:E97,"*Income*",'AP Data (NetSuite)'!L2:L97,11)&gt;0,SUMIFS('AP Data (NetSuite)'!H2:H97,'AP Data (NetSuite)'!E2:E97,"*Income*",'AP Data (NetSuite)'!L2:L97,11),IF(11&gt;Assumptions!$B$8,0,0))</f>
        <v>0</v>
      </c>
      <c r="N14" s="47" t="n">
        <f aca="false">IF(SUMIFS('AP Data (NetSuite)'!H2:H97,'AP Data (NetSuite)'!E2:E97,"*Income*",'AP Data (NetSuite)'!L2:L97,12)&gt;0,SUMIFS('AP Data (NetSuite)'!H2:H97,'AP Data (NetSuite)'!E2:E97,"*Income*",'AP Data (NetSuite)'!L2:L97,12),IF(12&gt;Assumptions!$B$8,0,0))</f>
        <v>0</v>
      </c>
      <c r="O14" s="47" t="n">
        <f aca="false">IF(SUMIFS('AP Data (NetSuite)'!H2:H97,'AP Data (NetSuite)'!E2:E97,"*Income*",'AP Data (NetSuite)'!L2:L97,13)&gt;0,SUMIFS('AP Data (NetSuite)'!H2:H97,'AP Data (NetSuite)'!E2:E97,"*Income*",'AP Data (NetSuite)'!L2:L97,13),IF(13&gt;Assumptions!$B$8,0,0))</f>
        <v>0</v>
      </c>
      <c r="P14" s="47" t="n">
        <f aca="false">IF(SUMIFS('AP Data (NetSuite)'!H2:H97,'AP Data (NetSuite)'!E2:E97,"*Income*",'AP Data (NetSuite)'!L2:L97,14)&gt;0,SUMIFS('AP Data (NetSuite)'!H2:H97,'AP Data (NetSuite)'!E2:E97,"*Income*",'AP Data (NetSuite)'!L2:L97,14),IF(14&gt;Assumptions!$B$8,0,0))</f>
        <v>0</v>
      </c>
      <c r="Q14" s="47" t="n">
        <f aca="false">IF(SUMIFS('AP Data (NetSuite)'!H2:H97,'AP Data (NetSuite)'!E2:E97,"*Income*",'AP Data (NetSuite)'!L2:L97,15)&gt;0,SUMIFS('AP Data (NetSuite)'!H2:H97,'AP Data (NetSuite)'!E2:E97,"*Income*",'AP Data (NetSuite)'!L2:L97,15),IF(15&gt;Assumptions!$B$8,0,0))</f>
        <v>0</v>
      </c>
      <c r="R14" s="47" t="n">
        <f aca="false">IF(SUMIFS('AP Data (NetSuite)'!H2:H97,'AP Data (NetSuite)'!E2:E97,"*Income*",'AP Data (NetSuite)'!L2:L97,16)&gt;0,SUMIFS('AP Data (NetSuite)'!H2:H97,'AP Data (NetSuite)'!E2:E97,"*Income*",'AP Data (NetSuite)'!L2:L97,16),IF(16&gt;Assumptions!$B$8,0,0))</f>
        <v>0</v>
      </c>
      <c r="S14" s="48" t="n">
        <f aca="false">IF(SUMIFS('AP Data (NetSuite)'!H2:H97,'AP Data (NetSuite)'!E2:E97,"*Income*",'AP Data (NetSuite)'!L2:L97,17)&gt;0,SUMIFS('AP Data (NetSuite)'!H2:H97,'AP Data (NetSuite)'!E2:E97,"*Income*",'AP Data (NetSuite)'!L2:L97,17),IF(17&gt;Assumptions!$B$8,19200,0))</f>
        <v>0</v>
      </c>
      <c r="T14" s="49" t="n">
        <f aca="false">IF(SUMIFS('AP Data (NetSuite)'!H2:H97,'AP Data (NetSuite)'!E2:E97,"*Income*",'AP Data (NetSuite)'!L2:L97,18)&gt;0,SUMIFS('AP Data (NetSuite)'!H2:H97,'AP Data (NetSuite)'!E2:E97,"*Income*",'AP Data (NetSuite)'!L2:L97,18),IF(18&gt;Assumptions!$B$8,0,0))</f>
        <v>0</v>
      </c>
      <c r="U14" s="49" t="n">
        <f aca="false">IF(SUMIFS('AP Data (NetSuite)'!H2:H97,'AP Data (NetSuite)'!E2:E97,"*Income*",'AP Data (NetSuite)'!L2:L97,19)&gt;0,SUMIFS('AP Data (NetSuite)'!H2:H97,'AP Data (NetSuite)'!E2:E97,"*Income*",'AP Data (NetSuite)'!L2:L97,19),IF(19&gt;Assumptions!$B$8,0,0))</f>
        <v>0</v>
      </c>
      <c r="V14" s="49" t="n">
        <f aca="false">IF(SUMIFS('AP Data (NetSuite)'!H2:H97,'AP Data (NetSuite)'!E2:E97,"*Income*",'AP Data (NetSuite)'!L2:L97,20)&gt;0,SUMIFS('AP Data (NetSuite)'!H2:H97,'AP Data (NetSuite)'!E2:E97,"*Income*",'AP Data (NetSuite)'!L2:L97,20),IF(20&gt;Assumptions!$B$8,0,0))</f>
        <v>0</v>
      </c>
      <c r="W14" s="49" t="n">
        <f aca="false">IF(SUMIFS('AP Data (NetSuite)'!H2:H97,'AP Data (NetSuite)'!E2:E97,"*Income*",'AP Data (NetSuite)'!L2:L97,21)&gt;0,SUMIFS('AP Data (NetSuite)'!H2:H97,'AP Data (NetSuite)'!E2:E97,"*Income*",'AP Data (NetSuite)'!L2:L97,21),IF(21&gt;Assumptions!$B$8,0,0))</f>
        <v>0</v>
      </c>
      <c r="X14" s="49" t="n">
        <f aca="false">IF(SUMIFS('AP Data (NetSuite)'!H2:H97,'AP Data (NetSuite)'!E2:E97,"*Income*",'AP Data (NetSuite)'!L2:L97,22)&gt;0,SUMIFS('AP Data (NetSuite)'!H2:H97,'AP Data (NetSuite)'!E2:E97,"*Income*",'AP Data (NetSuite)'!L2:L97,22),IF(22&gt;Assumptions!$B$8,0,0))</f>
        <v>0</v>
      </c>
      <c r="Y14" s="49" t="n">
        <f aca="false">IF(SUMIFS('AP Data (NetSuite)'!H2:H97,'AP Data (NetSuite)'!E2:E97,"*Income*",'AP Data (NetSuite)'!L2:L97,23)&gt;0,SUMIFS('AP Data (NetSuite)'!H2:H97,'AP Data (NetSuite)'!E2:E97,"*Income*",'AP Data (NetSuite)'!L2:L97,23),IF(23&gt;Assumptions!$B$8,0,0))</f>
        <v>0</v>
      </c>
      <c r="Z14" s="49" t="n">
        <f aca="false">IF(SUMIFS('AP Data (NetSuite)'!H2:H97,'AP Data (NetSuite)'!E2:E97,"*Income*",'AP Data (NetSuite)'!L2:L97,24)&gt;0,SUMIFS('AP Data (NetSuite)'!H2:H97,'AP Data (NetSuite)'!E2:E97,"*Income*",'AP Data (NetSuite)'!L2:L97,24),IF(24&gt;Assumptions!$B$8,0,0))</f>
        <v>0</v>
      </c>
      <c r="AA14" s="49" t="n">
        <f aca="false">IF(SUMIFS('AP Data (NetSuite)'!H2:H97,'AP Data (NetSuite)'!E2:E97,"*Income*",'AP Data (NetSuite)'!L2:L97,25)&gt;0,SUMIFS('AP Data (NetSuite)'!H2:H97,'AP Data (NetSuite)'!E2:E97,"*Income*",'AP Data (NetSuite)'!L2:L97,25),IF(25&gt;Assumptions!$B$8,0,0))</f>
        <v>0</v>
      </c>
      <c r="AB14" s="49" t="n">
        <f aca="false">IF(SUMIFS('AP Data (NetSuite)'!H2:H97,'AP Data (NetSuite)'!E2:E97,"*Income*",'AP Data (NetSuite)'!L2:L97,26)&gt;0,SUMIFS('AP Data (NetSuite)'!H2:H97,'AP Data (NetSuite)'!E2:E97,"*Income*",'AP Data (NetSuite)'!L2:L97,26),IF(26&gt;Assumptions!$B$8,0,0))</f>
        <v>0</v>
      </c>
    </row>
    <row r="15" customFormat="false" ht="15.75" hidden="false" customHeight="true" outlineLevel="0" collapsed="false">
      <c r="A15" s="45" t="s">
        <v>380</v>
      </c>
      <c r="B15" s="46" t="n">
        <f aca="false">SUM(C15:AB15)</f>
        <v>68600</v>
      </c>
      <c r="C15" s="47" t="n">
        <f aca="false">IF(SUMIFS('AP Data (NetSuite)'!H2:H97,'AP Data (NetSuite)'!E2:E97,"*Loan*",'AP Data (NetSuite)'!L2:L97,1)&gt;0,SUMIFS('AP Data (NetSuite)'!H2:H97,'AP Data (NetSuite)'!E2:E97,"*Loan*",'AP Data (NetSuite)'!L2:L97,1),IF(1&gt;Assumptions!$B$8,0,0))</f>
        <v>9800</v>
      </c>
      <c r="D15" s="47" t="n">
        <f aca="false">IF(SUMIFS('AP Data (NetSuite)'!H2:H97,'AP Data (NetSuite)'!E2:E97,"*Loan*",'AP Data (NetSuite)'!L2:L97,2)&gt;0,SUMIFS('AP Data (NetSuite)'!H2:H97,'AP Data (NetSuite)'!E2:E97,"*Loan*",'AP Data (NetSuite)'!L2:L97,2),IF(2&gt;Assumptions!$B$8,0,0))</f>
        <v>0</v>
      </c>
      <c r="E15" s="47" t="n">
        <f aca="false">IF(SUMIFS('AP Data (NetSuite)'!H2:H97,'AP Data (NetSuite)'!E2:E97,"*Loan*",'AP Data (NetSuite)'!L2:L97,3)&gt;0,SUMIFS('AP Data (NetSuite)'!H2:H97,'AP Data (NetSuite)'!E2:E97,"*Loan*",'AP Data (NetSuite)'!L2:L97,3),IF(3&gt;Assumptions!$B$8,0,0))</f>
        <v>0</v>
      </c>
      <c r="F15" s="47" t="n">
        <f aca="false">IF(SUMIFS('AP Data (NetSuite)'!H2:H97,'AP Data (NetSuite)'!E2:E97,"*Loan*",'AP Data (NetSuite)'!L2:L97,4)&gt;0,SUMIFS('AP Data (NetSuite)'!H2:H97,'AP Data (NetSuite)'!E2:E97,"*Loan*",'AP Data (NetSuite)'!L2:L97,4),IF(4&gt;Assumptions!$B$8,0,0))</f>
        <v>0</v>
      </c>
      <c r="G15" s="47" t="n">
        <f aca="false">IF(SUMIFS('AP Data (NetSuite)'!H2:H97,'AP Data (NetSuite)'!E2:E97,"*Loan*",'AP Data (NetSuite)'!L2:L97,5)&gt;0,SUMIFS('AP Data (NetSuite)'!H2:H97,'AP Data (NetSuite)'!E2:E97,"*Loan*",'AP Data (NetSuite)'!L2:L97,5),IF(5&gt;Assumptions!$B$8,0,0))</f>
        <v>9800</v>
      </c>
      <c r="H15" s="47" t="n">
        <f aca="false">IF(SUMIFS('AP Data (NetSuite)'!H2:H97,'AP Data (NetSuite)'!E2:E97,"*Loan*",'AP Data (NetSuite)'!L2:L97,6)&gt;0,SUMIFS('AP Data (NetSuite)'!H2:H97,'AP Data (NetSuite)'!E2:E97,"*Loan*",'AP Data (NetSuite)'!L2:L97,6),IF(6&gt;Assumptions!$B$8,0,0))</f>
        <v>0</v>
      </c>
      <c r="I15" s="47" t="n">
        <f aca="false">IF(SUMIFS('AP Data (NetSuite)'!H2:H97,'AP Data (NetSuite)'!E2:E97,"*Loan*",'AP Data (NetSuite)'!L2:L97,7)&gt;0,SUMIFS('AP Data (NetSuite)'!H2:H97,'AP Data (NetSuite)'!E2:E97,"*Loan*",'AP Data (NetSuite)'!L2:L97,7),IF(7&gt;Assumptions!$B$8,0,0))</f>
        <v>0</v>
      </c>
      <c r="J15" s="47" t="n">
        <f aca="false">IF(SUMIFS('AP Data (NetSuite)'!H2:H97,'AP Data (NetSuite)'!E2:E97,"*Loan*",'AP Data (NetSuite)'!L2:L97,8)&gt;0,SUMIFS('AP Data (NetSuite)'!H2:H97,'AP Data (NetSuite)'!E2:E97,"*Loan*",'AP Data (NetSuite)'!L2:L97,8),IF(8&gt;Assumptions!$B$8,0,0))</f>
        <v>0</v>
      </c>
      <c r="K15" s="47" t="n">
        <f aca="false">IF(SUMIFS('AP Data (NetSuite)'!H2:H97,'AP Data (NetSuite)'!E2:E97,"*Loan*",'AP Data (NetSuite)'!L2:L97,9)&gt;0,SUMIFS('AP Data (NetSuite)'!H2:H97,'AP Data (NetSuite)'!E2:E97,"*Loan*",'AP Data (NetSuite)'!L2:L97,9),IF(9&gt;Assumptions!$B$8,0,0))</f>
        <v>9800</v>
      </c>
      <c r="L15" s="47" t="n">
        <f aca="false">IF(SUMIFS('AP Data (NetSuite)'!H2:H97,'AP Data (NetSuite)'!E2:E97,"*Loan*",'AP Data (NetSuite)'!L2:L97,10)&gt;0,SUMIFS('AP Data (NetSuite)'!H2:H97,'AP Data (NetSuite)'!E2:E97,"*Loan*",'AP Data (NetSuite)'!L2:L97,10),IF(10&gt;Assumptions!$B$8,0,0))</f>
        <v>0</v>
      </c>
      <c r="M15" s="47" t="n">
        <f aca="false">IF(SUMIFS('AP Data (NetSuite)'!H2:H97,'AP Data (NetSuite)'!E2:E97,"*Loan*",'AP Data (NetSuite)'!L2:L97,11)&gt;0,SUMIFS('AP Data (NetSuite)'!H2:H97,'AP Data (NetSuite)'!E2:E97,"*Loan*",'AP Data (NetSuite)'!L2:L97,11),IF(11&gt;Assumptions!$B$8,0,0))</f>
        <v>0</v>
      </c>
      <c r="N15" s="47" t="n">
        <f aca="false">IF(SUMIFS('AP Data (NetSuite)'!H2:H97,'AP Data (NetSuite)'!E2:E97,"*Loan*",'AP Data (NetSuite)'!L2:L97,12)&gt;0,SUMIFS('AP Data (NetSuite)'!H2:H97,'AP Data (NetSuite)'!E2:E97,"*Loan*",'AP Data (NetSuite)'!L2:L97,12),IF(12&gt;Assumptions!$B$8,0,0))</f>
        <v>0</v>
      </c>
      <c r="O15" s="47" t="n">
        <f aca="false">IF(SUMIFS('AP Data (NetSuite)'!H2:H97,'AP Data (NetSuite)'!E2:E97,"*Loan*",'AP Data (NetSuite)'!L2:L97,13)&gt;0,SUMIFS('AP Data (NetSuite)'!H2:H97,'AP Data (NetSuite)'!E2:E97,"*Loan*",'AP Data (NetSuite)'!L2:L97,13),IF(13&gt;Assumptions!$B$8,9800,0))</f>
        <v>9800</v>
      </c>
      <c r="P15" s="47" t="n">
        <f aca="false">IF(SUMIFS('AP Data (NetSuite)'!H2:H97,'AP Data (NetSuite)'!E2:E97,"*Loan*",'AP Data (NetSuite)'!L2:L97,14)&gt;0,SUMIFS('AP Data (NetSuite)'!H2:H97,'AP Data (NetSuite)'!E2:E97,"*Loan*",'AP Data (NetSuite)'!L2:L97,14),IF(14&gt;Assumptions!$B$8,0,0))</f>
        <v>0</v>
      </c>
      <c r="Q15" s="47" t="n">
        <f aca="false">IF(SUMIFS('AP Data (NetSuite)'!H2:H97,'AP Data (NetSuite)'!E2:E97,"*Loan*",'AP Data (NetSuite)'!L2:L97,15)&gt;0,SUMIFS('AP Data (NetSuite)'!H2:H97,'AP Data (NetSuite)'!E2:E97,"*Loan*",'AP Data (NetSuite)'!L2:L97,15),IF(15&gt;Assumptions!$B$8,0,0))</f>
        <v>0</v>
      </c>
      <c r="R15" s="47" t="n">
        <f aca="false">IF(SUMIFS('AP Data (NetSuite)'!H2:H97,'AP Data (NetSuite)'!E2:E97,"*Loan*",'AP Data (NetSuite)'!L2:L97,16)&gt;0,SUMIFS('AP Data (NetSuite)'!H2:H97,'AP Data (NetSuite)'!E2:E97,"*Loan*",'AP Data (NetSuite)'!L2:L97,16),IF(16&gt;Assumptions!$B$8,0,0))</f>
        <v>0</v>
      </c>
      <c r="S15" s="48" t="n">
        <f aca="false">IF(SUMIFS('AP Data (NetSuite)'!H2:H97,'AP Data (NetSuite)'!E2:E97,"*Loan*",'AP Data (NetSuite)'!L2:L97,17)&gt;0,SUMIFS('AP Data (NetSuite)'!H2:H97,'AP Data (NetSuite)'!E2:E97,"*Loan*",'AP Data (NetSuite)'!L2:L97,17),IF(17&gt;Assumptions!$B$8,9800,0))</f>
        <v>9800</v>
      </c>
      <c r="T15" s="49" t="n">
        <f aca="false">IF(SUMIFS('AP Data (NetSuite)'!H2:H97,'AP Data (NetSuite)'!E2:E97,"*Loan*",'AP Data (NetSuite)'!L2:L97,18)&gt;0,SUMIFS('AP Data (NetSuite)'!H2:H97,'AP Data (NetSuite)'!E2:E97,"*Loan*",'AP Data (NetSuite)'!L2:L97,18),IF(18&gt;Assumptions!$B$8,0,0))</f>
        <v>0</v>
      </c>
      <c r="U15" s="49" t="n">
        <f aca="false">IF(SUMIFS('AP Data (NetSuite)'!H2:H97,'AP Data (NetSuite)'!E2:E97,"*Loan*",'AP Data (NetSuite)'!L2:L97,19)&gt;0,SUMIFS('AP Data (NetSuite)'!H2:H97,'AP Data (NetSuite)'!E2:E97,"*Loan*",'AP Data (NetSuite)'!L2:L97,19),IF(19&gt;Assumptions!$B$8,0,0))</f>
        <v>0</v>
      </c>
      <c r="V15" s="49" t="n">
        <f aca="false">IF(SUMIFS('AP Data (NetSuite)'!H2:H97,'AP Data (NetSuite)'!E2:E97,"*Loan*",'AP Data (NetSuite)'!L2:L97,20)&gt;0,SUMIFS('AP Data (NetSuite)'!H2:H97,'AP Data (NetSuite)'!E2:E97,"*Loan*",'AP Data (NetSuite)'!L2:L97,20),IF(20&gt;Assumptions!$B$8,0,0))</f>
        <v>0</v>
      </c>
      <c r="W15" s="49" t="n">
        <f aca="false">IF(SUMIFS('AP Data (NetSuite)'!H2:H97,'AP Data (NetSuite)'!E2:E97,"*Loan*",'AP Data (NetSuite)'!L2:L97,21)&gt;0,SUMIFS('AP Data (NetSuite)'!H2:H97,'AP Data (NetSuite)'!E2:E97,"*Loan*",'AP Data (NetSuite)'!L2:L97,21),IF(21&gt;Assumptions!$B$8,9800,0))</f>
        <v>9800</v>
      </c>
      <c r="X15" s="49" t="n">
        <f aca="false">IF(SUMIFS('AP Data (NetSuite)'!H2:H97,'AP Data (NetSuite)'!E2:E97,"*Loan*",'AP Data (NetSuite)'!L2:L97,22)&gt;0,SUMIFS('AP Data (NetSuite)'!H2:H97,'AP Data (NetSuite)'!E2:E97,"*Loan*",'AP Data (NetSuite)'!L2:L97,22),IF(22&gt;Assumptions!$B$8,0,0))</f>
        <v>0</v>
      </c>
      <c r="Y15" s="49" t="n">
        <f aca="false">IF(SUMIFS('AP Data (NetSuite)'!H2:H97,'AP Data (NetSuite)'!E2:E97,"*Loan*",'AP Data (NetSuite)'!L2:L97,23)&gt;0,SUMIFS('AP Data (NetSuite)'!H2:H97,'AP Data (NetSuite)'!E2:E97,"*Loan*",'AP Data (NetSuite)'!L2:L97,23),IF(23&gt;Assumptions!$B$8,0,0))</f>
        <v>0</v>
      </c>
      <c r="Z15" s="49" t="n">
        <f aca="false">IF(SUMIFS('AP Data (NetSuite)'!H2:H97,'AP Data (NetSuite)'!E2:E97,"*Loan*",'AP Data (NetSuite)'!L2:L97,24)&gt;0,SUMIFS('AP Data (NetSuite)'!H2:H97,'AP Data (NetSuite)'!E2:E97,"*Loan*",'AP Data (NetSuite)'!L2:L97,24),IF(24&gt;Assumptions!$B$8,0,0))</f>
        <v>0</v>
      </c>
      <c r="AA15" s="49" t="n">
        <f aca="false">IF(SUMIFS('AP Data (NetSuite)'!H2:H97,'AP Data (NetSuite)'!E2:E97,"*Loan*",'AP Data (NetSuite)'!L2:L97,25)&gt;0,SUMIFS('AP Data (NetSuite)'!H2:H97,'AP Data (NetSuite)'!E2:E97,"*Loan*",'AP Data (NetSuite)'!L2:L97,25),IF(25&gt;Assumptions!$B$8,9800,0))</f>
        <v>9800</v>
      </c>
      <c r="AB15" s="49" t="n">
        <f aca="false">IF(SUMIFS('AP Data (NetSuite)'!H2:H97,'AP Data (NetSuite)'!E2:E97,"*Loan*",'AP Data (NetSuite)'!L2:L97,26)&gt;0,SUMIFS('AP Data (NetSuite)'!H2:H97,'AP Data (NetSuite)'!E2:E97,"*Loan*",'AP Data (NetSuite)'!L2:L97,26),IF(26&gt;Assumptions!$B$8,0,0))</f>
        <v>0</v>
      </c>
    </row>
    <row r="16" customFormat="false" ht="15.75" hidden="false" customHeight="true" outlineLevel="0" collapsed="false">
      <c r="A16" s="45" t="s">
        <v>381</v>
      </c>
      <c r="B16" s="46" t="n">
        <f aca="false">SUM(C16:AB16)</f>
        <v>129500</v>
      </c>
      <c r="C16" s="47" t="n">
        <f aca="false">IF(SUMIFS('AP Data (NetSuite)'!H2:H97,'AP Data (NetSuite)'!E2:E97,"*Rent*",'AP Data (NetSuite)'!L2:L97,1)&gt;0,SUMIFS('AP Data (NetSuite)'!H2:H97,'AP Data (NetSuite)'!E2:E97,"*Rent*",'AP Data (NetSuite)'!L2:L97,1),IF(1&gt;Assumptions!$B$8,0,0))</f>
        <v>18500</v>
      </c>
      <c r="D16" s="47" t="n">
        <f aca="false">IF(SUMIFS('AP Data (NetSuite)'!H2:H97,'AP Data (NetSuite)'!E2:E97,"*Rent*",'AP Data (NetSuite)'!L2:L97,2)&gt;0,SUMIFS('AP Data (NetSuite)'!H2:H97,'AP Data (NetSuite)'!E2:E97,"*Rent*",'AP Data (NetSuite)'!L2:L97,2),IF(2&gt;Assumptions!$B$8,0,0))</f>
        <v>0</v>
      </c>
      <c r="E16" s="47" t="n">
        <f aca="false">IF(SUMIFS('AP Data (NetSuite)'!H2:H97,'AP Data (NetSuite)'!E2:E97,"*Rent*",'AP Data (NetSuite)'!L2:L97,3)&gt;0,SUMIFS('AP Data (NetSuite)'!H2:H97,'AP Data (NetSuite)'!E2:E97,"*Rent*",'AP Data (NetSuite)'!L2:L97,3),IF(3&gt;Assumptions!$B$8,0,0))</f>
        <v>0</v>
      </c>
      <c r="F16" s="47" t="n">
        <f aca="false">IF(SUMIFS('AP Data (NetSuite)'!H2:H97,'AP Data (NetSuite)'!E2:E97,"*Rent*",'AP Data (NetSuite)'!L2:L97,4)&gt;0,SUMIFS('AP Data (NetSuite)'!H2:H97,'AP Data (NetSuite)'!E2:E97,"*Rent*",'AP Data (NetSuite)'!L2:L97,4),IF(4&gt;Assumptions!$B$8,0,0))</f>
        <v>0</v>
      </c>
      <c r="G16" s="47" t="n">
        <f aca="false">IF(SUMIFS('AP Data (NetSuite)'!H2:H97,'AP Data (NetSuite)'!E2:E97,"*Rent*",'AP Data (NetSuite)'!L2:L97,5)&gt;0,SUMIFS('AP Data (NetSuite)'!H2:H97,'AP Data (NetSuite)'!E2:E97,"*Rent*",'AP Data (NetSuite)'!L2:L97,5),IF(5&gt;Assumptions!$B$8,0,0))</f>
        <v>18500</v>
      </c>
      <c r="H16" s="47" t="n">
        <f aca="false">IF(SUMIFS('AP Data (NetSuite)'!H2:H97,'AP Data (NetSuite)'!E2:E97,"*Rent*",'AP Data (NetSuite)'!L2:L97,6)&gt;0,SUMIFS('AP Data (NetSuite)'!H2:H97,'AP Data (NetSuite)'!E2:E97,"*Rent*",'AP Data (NetSuite)'!L2:L97,6),IF(6&gt;Assumptions!$B$8,0,0))</f>
        <v>0</v>
      </c>
      <c r="I16" s="47" t="n">
        <f aca="false">IF(SUMIFS('AP Data (NetSuite)'!H2:H97,'AP Data (NetSuite)'!E2:E97,"*Rent*",'AP Data (NetSuite)'!L2:L97,7)&gt;0,SUMIFS('AP Data (NetSuite)'!H2:H97,'AP Data (NetSuite)'!E2:E97,"*Rent*",'AP Data (NetSuite)'!L2:L97,7),IF(7&gt;Assumptions!$B$8,0,0))</f>
        <v>0</v>
      </c>
      <c r="J16" s="47" t="n">
        <f aca="false">IF(SUMIFS('AP Data (NetSuite)'!H2:H97,'AP Data (NetSuite)'!E2:E97,"*Rent*",'AP Data (NetSuite)'!L2:L97,8)&gt;0,SUMIFS('AP Data (NetSuite)'!H2:H97,'AP Data (NetSuite)'!E2:E97,"*Rent*",'AP Data (NetSuite)'!L2:L97,8),IF(8&gt;Assumptions!$B$8,0,0))</f>
        <v>0</v>
      </c>
      <c r="K16" s="47" t="n">
        <f aca="false">IF(SUMIFS('AP Data (NetSuite)'!H2:H97,'AP Data (NetSuite)'!E2:E97,"*Rent*",'AP Data (NetSuite)'!L2:L97,9)&gt;0,SUMIFS('AP Data (NetSuite)'!H2:H97,'AP Data (NetSuite)'!E2:E97,"*Rent*",'AP Data (NetSuite)'!L2:L97,9),IF(9&gt;Assumptions!$B$8,0,0))</f>
        <v>18500</v>
      </c>
      <c r="L16" s="47" t="n">
        <f aca="false">IF(SUMIFS('AP Data (NetSuite)'!H2:H97,'AP Data (NetSuite)'!E2:E97,"*Rent*",'AP Data (NetSuite)'!L2:L97,10)&gt;0,SUMIFS('AP Data (NetSuite)'!H2:H97,'AP Data (NetSuite)'!E2:E97,"*Rent*",'AP Data (NetSuite)'!L2:L97,10),IF(10&gt;Assumptions!$B$8,0,0))</f>
        <v>0</v>
      </c>
      <c r="M16" s="47" t="n">
        <f aca="false">IF(SUMIFS('AP Data (NetSuite)'!H2:H97,'AP Data (NetSuite)'!E2:E97,"*Rent*",'AP Data (NetSuite)'!L2:L97,11)&gt;0,SUMIFS('AP Data (NetSuite)'!H2:H97,'AP Data (NetSuite)'!E2:E97,"*Rent*",'AP Data (NetSuite)'!L2:L97,11),IF(11&gt;Assumptions!$B$8,0,0))</f>
        <v>0</v>
      </c>
      <c r="N16" s="47" t="n">
        <f aca="false">IF(SUMIFS('AP Data (NetSuite)'!H2:H97,'AP Data (NetSuite)'!E2:E97,"*Rent*",'AP Data (NetSuite)'!L2:L97,12)&gt;0,SUMIFS('AP Data (NetSuite)'!H2:H97,'AP Data (NetSuite)'!E2:E97,"*Rent*",'AP Data (NetSuite)'!L2:L97,12),IF(12&gt;Assumptions!$B$8,0,0))</f>
        <v>0</v>
      </c>
      <c r="O16" s="47" t="n">
        <f aca="false">IF(SUMIFS('AP Data (NetSuite)'!H2:H97,'AP Data (NetSuite)'!E2:E97,"*Rent*",'AP Data (NetSuite)'!L2:L97,13)&gt;0,SUMIFS('AP Data (NetSuite)'!H2:H97,'AP Data (NetSuite)'!E2:E97,"*Rent*",'AP Data (NetSuite)'!L2:L97,13),IF(13&gt;Assumptions!$B$8,18500,0))</f>
        <v>18500</v>
      </c>
      <c r="P16" s="47" t="n">
        <f aca="false">IF(SUMIFS('AP Data (NetSuite)'!H2:H97,'AP Data (NetSuite)'!E2:E97,"*Rent*",'AP Data (NetSuite)'!L2:L97,14)&gt;0,SUMIFS('AP Data (NetSuite)'!H2:H97,'AP Data (NetSuite)'!E2:E97,"*Rent*",'AP Data (NetSuite)'!L2:L97,14),IF(14&gt;Assumptions!$B$8,0,0))</f>
        <v>0</v>
      </c>
      <c r="Q16" s="47" t="n">
        <f aca="false">IF(SUMIFS('AP Data (NetSuite)'!H2:H97,'AP Data (NetSuite)'!E2:E97,"*Rent*",'AP Data (NetSuite)'!L2:L97,15)&gt;0,SUMIFS('AP Data (NetSuite)'!H2:H97,'AP Data (NetSuite)'!E2:E97,"*Rent*",'AP Data (NetSuite)'!L2:L97,15),IF(15&gt;Assumptions!$B$8,0,0))</f>
        <v>0</v>
      </c>
      <c r="R16" s="47" t="n">
        <f aca="false">IF(SUMIFS('AP Data (NetSuite)'!H2:H97,'AP Data (NetSuite)'!E2:E97,"*Rent*",'AP Data (NetSuite)'!L2:L97,16)&gt;0,SUMIFS('AP Data (NetSuite)'!H2:H97,'AP Data (NetSuite)'!E2:E97,"*Rent*",'AP Data (NetSuite)'!L2:L97,16),IF(16&gt;Assumptions!$B$8,0,0))</f>
        <v>0</v>
      </c>
      <c r="S16" s="48" t="n">
        <f aca="false">IF(SUMIFS('AP Data (NetSuite)'!H2:H97,'AP Data (NetSuite)'!E2:E97,"*Rent*",'AP Data (NetSuite)'!L2:L97,17)&gt;0,SUMIFS('AP Data (NetSuite)'!H2:H97,'AP Data (NetSuite)'!E2:E97,"*Rent*",'AP Data (NetSuite)'!L2:L97,17),IF(17&gt;Assumptions!$B$8,18500,0))</f>
        <v>18500</v>
      </c>
      <c r="T16" s="49" t="n">
        <f aca="false">IF(SUMIFS('AP Data (NetSuite)'!H2:H97,'AP Data (NetSuite)'!E2:E97,"*Rent*",'AP Data (NetSuite)'!L2:L97,18)&gt;0,SUMIFS('AP Data (NetSuite)'!H2:H97,'AP Data (NetSuite)'!E2:E97,"*Rent*",'AP Data (NetSuite)'!L2:L97,18),IF(18&gt;Assumptions!$B$8,0,0))</f>
        <v>0</v>
      </c>
      <c r="U16" s="49" t="n">
        <f aca="false">IF(SUMIFS('AP Data (NetSuite)'!H2:H97,'AP Data (NetSuite)'!E2:E97,"*Rent*",'AP Data (NetSuite)'!L2:L97,19)&gt;0,SUMIFS('AP Data (NetSuite)'!H2:H97,'AP Data (NetSuite)'!E2:E97,"*Rent*",'AP Data (NetSuite)'!L2:L97,19),IF(19&gt;Assumptions!$B$8,0,0))</f>
        <v>0</v>
      </c>
      <c r="V16" s="49" t="n">
        <f aca="false">IF(SUMIFS('AP Data (NetSuite)'!H2:H97,'AP Data (NetSuite)'!E2:E97,"*Rent*",'AP Data (NetSuite)'!L2:L97,20)&gt;0,SUMIFS('AP Data (NetSuite)'!H2:H97,'AP Data (NetSuite)'!E2:E97,"*Rent*",'AP Data (NetSuite)'!L2:L97,20),IF(20&gt;Assumptions!$B$8,0,0))</f>
        <v>0</v>
      </c>
      <c r="W16" s="49" t="n">
        <f aca="false">IF(SUMIFS('AP Data (NetSuite)'!H2:H97,'AP Data (NetSuite)'!E2:E97,"*Rent*",'AP Data (NetSuite)'!L2:L97,21)&gt;0,SUMIFS('AP Data (NetSuite)'!H2:H97,'AP Data (NetSuite)'!E2:E97,"*Rent*",'AP Data (NetSuite)'!L2:L97,21),IF(21&gt;Assumptions!$B$8,18500,0))</f>
        <v>18500</v>
      </c>
      <c r="X16" s="49" t="n">
        <f aca="false">IF(SUMIFS('AP Data (NetSuite)'!H2:H97,'AP Data (NetSuite)'!E2:E97,"*Rent*",'AP Data (NetSuite)'!L2:L97,22)&gt;0,SUMIFS('AP Data (NetSuite)'!H2:H97,'AP Data (NetSuite)'!E2:E97,"*Rent*",'AP Data (NetSuite)'!L2:L97,22),IF(22&gt;Assumptions!$B$8,0,0))</f>
        <v>0</v>
      </c>
      <c r="Y16" s="49" t="n">
        <f aca="false">IF(SUMIFS('AP Data (NetSuite)'!H2:H97,'AP Data (NetSuite)'!E2:E97,"*Rent*",'AP Data (NetSuite)'!L2:L97,23)&gt;0,SUMIFS('AP Data (NetSuite)'!H2:H97,'AP Data (NetSuite)'!E2:E97,"*Rent*",'AP Data (NetSuite)'!L2:L97,23),IF(23&gt;Assumptions!$B$8,0,0))</f>
        <v>0</v>
      </c>
      <c r="Z16" s="49" t="n">
        <f aca="false">IF(SUMIFS('AP Data (NetSuite)'!H2:H97,'AP Data (NetSuite)'!E2:E97,"*Rent*",'AP Data (NetSuite)'!L2:L97,24)&gt;0,SUMIFS('AP Data (NetSuite)'!H2:H97,'AP Data (NetSuite)'!E2:E97,"*Rent*",'AP Data (NetSuite)'!L2:L97,24),IF(24&gt;Assumptions!$B$8,0,0))</f>
        <v>0</v>
      </c>
      <c r="AA16" s="49" t="n">
        <f aca="false">IF(SUMIFS('AP Data (NetSuite)'!H2:H97,'AP Data (NetSuite)'!E2:E97,"*Rent*",'AP Data (NetSuite)'!L2:L97,25)&gt;0,SUMIFS('AP Data (NetSuite)'!H2:H97,'AP Data (NetSuite)'!E2:E97,"*Rent*",'AP Data (NetSuite)'!L2:L97,25),IF(25&gt;Assumptions!$B$8,18500,0))</f>
        <v>18500</v>
      </c>
      <c r="AB16" s="49" t="n">
        <f aca="false">IF(SUMIFS('AP Data (NetSuite)'!H2:H97,'AP Data (NetSuite)'!E2:E97,"*Rent*",'AP Data (NetSuite)'!L2:L97,26)&gt;0,SUMIFS('AP Data (NetSuite)'!H2:H97,'AP Data (NetSuite)'!E2:E97,"*Rent*",'AP Data (NetSuite)'!L2:L97,26),IF(26&gt;Assumptions!$B$8,0,0))</f>
        <v>0</v>
      </c>
    </row>
    <row r="17" customFormat="false" ht="18" hidden="false" customHeight="true" outlineLevel="0" collapsed="false">
      <c r="A17" s="55" t="s">
        <v>382</v>
      </c>
      <c r="B17" s="56" t="n">
        <f aca="false">SUM(C17:AB17)</f>
        <v>1947500</v>
      </c>
      <c r="C17" s="57" t="n">
        <f aca="false">C12+C13+C14+C15+C16</f>
        <v>125000</v>
      </c>
      <c r="D17" s="57" t="n">
        <f aca="false">D12+D13+D14+D15+D16</f>
        <v>0</v>
      </c>
      <c r="E17" s="57" t="n">
        <f aca="false">E12+E13+E14+E15+E16</f>
        <v>82500</v>
      </c>
      <c r="F17" s="57" t="n">
        <f aca="false">F12+F13+F14+F15+F16</f>
        <v>0</v>
      </c>
      <c r="G17" s="57" t="n">
        <f aca="false">G12+G13+G14+G15+G16</f>
        <v>125000</v>
      </c>
      <c r="H17" s="57" t="n">
        <f aca="false">H12+H13+H14+H15+H16</f>
        <v>0</v>
      </c>
      <c r="I17" s="57" t="n">
        <f aca="false">I12+I13+I14+I15+I16</f>
        <v>82500</v>
      </c>
      <c r="J17" s="57" t="n">
        <f aca="false">J12+J13+J14+J15+J16</f>
        <v>0</v>
      </c>
      <c r="K17" s="57" t="n">
        <f aca="false">K12+K13+K14+K15+K16</f>
        <v>125000</v>
      </c>
      <c r="L17" s="57" t="n">
        <f aca="false">L12+L13+L14+L15+L16</f>
        <v>0</v>
      </c>
      <c r="M17" s="57" t="n">
        <f aca="false">M12+M13+M14+M15+M16</f>
        <v>82500</v>
      </c>
      <c r="N17" s="57" t="n">
        <f aca="false">N12+N13+N14+N15+N16</f>
        <v>0</v>
      </c>
      <c r="O17" s="57" t="n">
        <f aca="false">O12+O13+O14+O15+O16</f>
        <v>207500</v>
      </c>
      <c r="P17" s="57" t="n">
        <f aca="false">P12+P13+P14+P15+P16</f>
        <v>0</v>
      </c>
      <c r="Q17" s="57" t="n">
        <f aca="false">Q12+Q13+Q14+Q15+Q16</f>
        <v>165000</v>
      </c>
      <c r="R17" s="57" t="n">
        <f aca="false">R12+R13+R14+R15+R16</f>
        <v>0</v>
      </c>
      <c r="S17" s="58" t="n">
        <f aca="false">S12+S13+S14+S15+S16</f>
        <v>207500</v>
      </c>
      <c r="T17" s="57" t="n">
        <f aca="false">T12+T13+T14+T15+T16</f>
        <v>0</v>
      </c>
      <c r="U17" s="57" t="n">
        <f aca="false">U12+U13+U14+U15+U16</f>
        <v>165000</v>
      </c>
      <c r="V17" s="57" t="n">
        <f aca="false">V12+V13+V14+V15+V16</f>
        <v>0</v>
      </c>
      <c r="W17" s="57" t="n">
        <f aca="false">W12+W13+W14+W15+W16</f>
        <v>207500</v>
      </c>
      <c r="X17" s="57" t="n">
        <f aca="false">X12+X13+X14+X15+X16</f>
        <v>0</v>
      </c>
      <c r="Y17" s="57" t="n">
        <f aca="false">Y12+Y13+Y14+Y15+Y16</f>
        <v>165000</v>
      </c>
      <c r="Z17" s="57" t="n">
        <f aca="false">Z12+Z13+Z14+Z15+Z16</f>
        <v>0</v>
      </c>
      <c r="AA17" s="57" t="n">
        <f aca="false">AA12+AA13+AA14+AA15+AA16</f>
        <v>207500</v>
      </c>
      <c r="AB17" s="57" t="n">
        <f aca="false">AB12+AB13+AB14+AB15+AB16</f>
        <v>0</v>
      </c>
    </row>
    <row r="18" customFormat="false" ht="15.75" hidden="false" customHeight="true" outlineLevel="0" collapsed="false">
      <c r="A18" s="15" t="s">
        <v>383</v>
      </c>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row>
    <row r="19" customFormat="false" ht="15.75" hidden="false" customHeight="true" outlineLevel="0" collapsed="false">
      <c r="A19" s="45" t="s">
        <v>384</v>
      </c>
      <c r="B19" s="46" t="n">
        <f aca="false">SUM(C19:AB19)</f>
        <v>1569600</v>
      </c>
      <c r="C19" s="47" t="n">
        <f aca="false">IF(SUMIFS('AP Data (NetSuite)'!H2:H97,'AP Data (NetSuite)'!E2:E97,"*Materials*",'AP Data (NetSuite)'!L2:L97,1)&gt;0,SUMIFS('AP Data (NetSuite)'!H2:H97,'AP Data (NetSuite)'!E2:E97,"*Materials*",'AP Data (NetSuite)'!L2:L97,1),IF(1&gt;Assumptions!$B$8,0,0))</f>
        <v>38400</v>
      </c>
      <c r="D19" s="47" t="n">
        <f aca="false">IF(SUMIFS('AP Data (NetSuite)'!H2:H97,'AP Data (NetSuite)'!E2:E97,"*Materials*",'AP Data (NetSuite)'!L2:L97,2)&gt;0,SUMIFS('AP Data (NetSuite)'!H2:H97,'AP Data (NetSuite)'!E2:E97,"*Materials*",'AP Data (NetSuite)'!L2:L97,2),IF(2&gt;Assumptions!$B$8,0,0))</f>
        <v>64100</v>
      </c>
      <c r="E19" s="47" t="n">
        <f aca="false">IF(SUMIFS('AP Data (NetSuite)'!H2:H97,'AP Data (NetSuite)'!E2:E97,"*Materials*",'AP Data (NetSuite)'!L2:L97,3)&gt;0,SUMIFS('AP Data (NetSuite)'!H2:H97,'AP Data (NetSuite)'!E2:E97,"*Materials*",'AP Data (NetSuite)'!L2:L97,3),IF(3&gt;Assumptions!$B$8,0,0))</f>
        <v>58300</v>
      </c>
      <c r="F19" s="47" t="n">
        <f aca="false">IF(SUMIFS('AP Data (NetSuite)'!H2:H97,'AP Data (NetSuite)'!E2:E97,"*Materials*",'AP Data (NetSuite)'!L2:L97,4)&gt;0,SUMIFS('AP Data (NetSuite)'!H2:H97,'AP Data (NetSuite)'!E2:E97,"*Materials*",'AP Data (NetSuite)'!L2:L97,4),IF(4&gt;Assumptions!$B$8,0,0))</f>
        <v>63300</v>
      </c>
      <c r="G19" s="47" t="n">
        <f aca="false">IF(SUMIFS('AP Data (NetSuite)'!H2:H97,'AP Data (NetSuite)'!E2:E97,"*Materials*",'AP Data (NetSuite)'!L2:L97,5)&gt;0,SUMIFS('AP Data (NetSuite)'!H2:H97,'AP Data (NetSuite)'!E2:E97,"*Materials*",'AP Data (NetSuite)'!L2:L97,5),IF(5&gt;Assumptions!$B$8,0,0))</f>
        <v>61700</v>
      </c>
      <c r="H19" s="47" t="n">
        <f aca="false">IF(SUMIFS('AP Data (NetSuite)'!H2:H97,'AP Data (NetSuite)'!E2:E97,"*Materials*",'AP Data (NetSuite)'!L2:L97,6)&gt;0,SUMIFS('AP Data (NetSuite)'!H2:H97,'AP Data (NetSuite)'!E2:E97,"*Materials*",'AP Data (NetSuite)'!L2:L97,6),IF(6&gt;Assumptions!$B$8,0,0))</f>
        <v>69400</v>
      </c>
      <c r="I19" s="47" t="n">
        <f aca="false">IF(SUMIFS('AP Data (NetSuite)'!H2:H97,'AP Data (NetSuite)'!E2:E97,"*Materials*",'AP Data (NetSuite)'!L2:L97,7)&gt;0,SUMIFS('AP Data (NetSuite)'!H2:H97,'AP Data (NetSuite)'!E2:E97,"*Materials*",'AP Data (NetSuite)'!L2:L97,7),IF(7&gt;Assumptions!$B$8,0,0))</f>
        <v>65100</v>
      </c>
      <c r="J19" s="47" t="n">
        <f aca="false">IF(SUMIFS('AP Data (NetSuite)'!H2:H97,'AP Data (NetSuite)'!E2:E97,"*Materials*",'AP Data (NetSuite)'!L2:L97,8)&gt;0,SUMIFS('AP Data (NetSuite)'!H2:H97,'AP Data (NetSuite)'!E2:E97,"*Materials*",'AP Data (NetSuite)'!L2:L97,8),IF(8&gt;Assumptions!$B$8,0,0))</f>
        <v>66400</v>
      </c>
      <c r="K19" s="47" t="n">
        <f aca="false">IF(SUMIFS('AP Data (NetSuite)'!H2:H97,'AP Data (NetSuite)'!E2:E97,"*Materials*",'AP Data (NetSuite)'!L2:L97,9)&gt;0,SUMIFS('AP Data (NetSuite)'!H2:H97,'AP Data (NetSuite)'!E2:E97,"*Materials*",'AP Data (NetSuite)'!L2:L97,9),IF(9&gt;Assumptions!$B$8,0,0))</f>
        <v>67300</v>
      </c>
      <c r="L19" s="47" t="n">
        <f aca="false">IF(SUMIFS('AP Data (NetSuite)'!H2:H97,'AP Data (NetSuite)'!E2:E97,"*Materials*",'AP Data (NetSuite)'!L2:L97,10)&gt;0,SUMIFS('AP Data (NetSuite)'!H2:H97,'AP Data (NetSuite)'!E2:E97,"*Materials*",'AP Data (NetSuite)'!L2:L97,10),IF(10&gt;Assumptions!$B$8,0,0))</f>
        <v>73400</v>
      </c>
      <c r="M19" s="47" t="n">
        <f aca="false">IF(SUMIFS('AP Data (NetSuite)'!H2:H97,'AP Data (NetSuite)'!E2:E97,"*Materials*",'AP Data (NetSuite)'!L2:L97,11)&gt;0,SUMIFS('AP Data (NetSuite)'!H2:H97,'AP Data (NetSuite)'!E2:E97,"*Materials*",'AP Data (NetSuite)'!L2:L97,11),IF(11&gt;Assumptions!$B$8,0,0))</f>
        <v>70600</v>
      </c>
      <c r="N19" s="47" t="n">
        <f aca="false">IF(SUMIFS('AP Data (NetSuite)'!H2:H97,'AP Data (NetSuite)'!E2:E97,"*Materials*",'AP Data (NetSuite)'!L2:L97,12)&gt;0,SUMIFS('AP Data (NetSuite)'!H2:H97,'AP Data (NetSuite)'!E2:E97,"*Materials*",'AP Data (NetSuite)'!L2:L97,12),IF(12&gt;Assumptions!$B$8,0,0))</f>
        <v>84700</v>
      </c>
      <c r="O19" s="47" t="n">
        <f aca="false">IF(SUMIFS('AP Data (NetSuite)'!H2:H97,'AP Data (NetSuite)'!E2:E97,"*Materials*",'AP Data (NetSuite)'!L2:L97,13)&gt;0,SUMIFS('AP Data (NetSuite)'!H2:H97,'AP Data (NetSuite)'!E2:E97,"*Materials*",'AP Data (NetSuite)'!L2:L97,13),IF(13&gt;Assumptions!$B$8,52400,0))</f>
        <v>52400</v>
      </c>
      <c r="P19" s="47" t="n">
        <f aca="false">IF(SUMIFS('AP Data (NetSuite)'!H2:H97,'AP Data (NetSuite)'!E2:E97,"*Materials*",'AP Data (NetSuite)'!L2:L97,14)&gt;0,SUMIFS('AP Data (NetSuite)'!H2:H97,'AP Data (NetSuite)'!E2:E97,"*Materials*",'AP Data (NetSuite)'!L2:L97,14),IF(14&gt;Assumptions!$B$8,38100,0))</f>
        <v>66500</v>
      </c>
      <c r="Q19" s="47" t="n">
        <f aca="false">IF(SUMIFS('AP Data (NetSuite)'!H2:H97,'AP Data (NetSuite)'!E2:E97,"*Materials*",'AP Data (NetSuite)'!L2:L97,15)&gt;0,SUMIFS('AP Data (NetSuite)'!H2:H97,'AP Data (NetSuite)'!E2:E97,"*Materials*",'AP Data (NetSuite)'!L2:L97,15),IF(15&gt;Assumptions!$B$8,61200,0))</f>
        <v>61200</v>
      </c>
      <c r="R19" s="47" t="n">
        <f aca="false">IF(SUMIFS('AP Data (NetSuite)'!H2:H97,'AP Data (NetSuite)'!E2:E97,"*Materials*",'AP Data (NetSuite)'!L2:L97,16)&gt;0,SUMIFS('AP Data (NetSuite)'!H2:H97,'AP Data (NetSuite)'!E2:E97,"*Materials*",'AP Data (NetSuite)'!L2:L97,16),IF(16&gt;Assumptions!$B$8,44800,0))</f>
        <v>66100</v>
      </c>
      <c r="S19" s="48" t="n">
        <f aca="false">IF(SUMIFS('AP Data (NetSuite)'!H2:H97,'AP Data (NetSuite)'!E2:E97,"*Materials*",'AP Data (NetSuite)'!L2:L97,17)&gt;0,SUMIFS('AP Data (NetSuite)'!H2:H97,'AP Data (NetSuite)'!E2:E97,"*Materials*",'AP Data (NetSuite)'!L2:L97,17),IF(17&gt;Assumptions!$B$8,57300,0))</f>
        <v>57300</v>
      </c>
      <c r="T19" s="49" t="n">
        <f aca="false">IF(SUMIFS('AP Data (NetSuite)'!H2:H97,'AP Data (NetSuite)'!E2:E97,"*Materials*",'AP Data (NetSuite)'!L2:L97,18)&gt;0,SUMIFS('AP Data (NetSuite)'!H2:H97,'AP Data (NetSuite)'!E2:E97,"*Materials*",'AP Data (NetSuite)'!L2:L97,18),IF(18&gt;Assumptions!$B$8,41600,0))</f>
        <v>41600</v>
      </c>
      <c r="U19" s="49" t="n">
        <f aca="false">IF(SUMIFS('AP Data (NetSuite)'!H2:H97,'AP Data (NetSuite)'!E2:E97,"*Materials*",'AP Data (NetSuite)'!L2:L97,19)&gt;0,SUMIFS('AP Data (NetSuite)'!H2:H97,'AP Data (NetSuite)'!E2:E97,"*Materials*",'AP Data (NetSuite)'!L2:L97,19),IF(19&gt;Assumptions!$B$8,64100,0))</f>
        <v>64100</v>
      </c>
      <c r="V19" s="49" t="n">
        <f aca="false">IF(SUMIFS('AP Data (NetSuite)'!H2:H97,'AP Data (NetSuite)'!E2:E97,"*Materials*",'AP Data (NetSuite)'!L2:L97,20)&gt;0,SUMIFS('AP Data (NetSuite)'!H2:H97,'AP Data (NetSuite)'!E2:E97,"*Materials*",'AP Data (NetSuite)'!L2:L97,20),IF(20&gt;Assumptions!$B$8,48500,0))</f>
        <v>48500</v>
      </c>
      <c r="W19" s="49" t="n">
        <f aca="false">IF(SUMIFS('AP Data (NetSuite)'!H2:H97,'AP Data (NetSuite)'!E2:E97,"*Materials*",'AP Data (NetSuite)'!L2:L97,21)&gt;0,SUMIFS('AP Data (NetSuite)'!H2:H97,'AP Data (NetSuite)'!E2:E97,"*Materials*",'AP Data (NetSuite)'!L2:L97,21),IF(21&gt;Assumptions!$B$8,59800,0))</f>
        <v>59800</v>
      </c>
      <c r="X19" s="49" t="n">
        <f aca="false">IF(SUMIFS('AP Data (NetSuite)'!H2:H97,'AP Data (NetSuite)'!E2:E97,"*Materials*",'AP Data (NetSuite)'!L2:L97,22)&gt;0,SUMIFS('AP Data (NetSuite)'!H2:H97,'AP Data (NetSuite)'!E2:E97,"*Materials*",'AP Data (NetSuite)'!L2:L97,22),IF(22&gt;Assumptions!$B$8,43200,0))</f>
        <v>43200</v>
      </c>
      <c r="Y19" s="49" t="n">
        <f aca="false">IF(SUMIFS('AP Data (NetSuite)'!H2:H97,'AP Data (NetSuite)'!E2:E97,"*Materials*",'AP Data (NetSuite)'!L2:L97,23)&gt;0,SUMIFS('AP Data (NetSuite)'!H2:H97,'AP Data (NetSuite)'!E2:E97,"*Materials*",'AP Data (NetSuite)'!L2:L97,23),IF(23&gt;Assumptions!$B$8,66400,0))</f>
        <v>66400</v>
      </c>
      <c r="Z19" s="49" t="n">
        <f aca="false">IF(SUMIFS('AP Data (NetSuite)'!H2:H97,'AP Data (NetSuite)'!E2:E97,"*Materials*",'AP Data (NetSuite)'!L2:L97,24)&gt;0,SUMIFS('AP Data (NetSuite)'!H2:H97,'AP Data (NetSuite)'!E2:E97,"*Materials*",'AP Data (NetSuite)'!L2:L97,24),IF(24&gt;Assumptions!$B$8,51000,0))</f>
        <v>51000</v>
      </c>
      <c r="AA19" s="49" t="n">
        <f aca="false">IF(SUMIFS('AP Data (NetSuite)'!H2:H97,'AP Data (NetSuite)'!E2:E97,"*Materials*",'AP Data (NetSuite)'!L2:L97,25)&gt;0,SUMIFS('AP Data (NetSuite)'!H2:H97,'AP Data (NetSuite)'!E2:E97,"*Materials*",'AP Data (NetSuite)'!L2:L97,25),IF(25&gt;Assumptions!$B$8,62100,0))</f>
        <v>62100</v>
      </c>
      <c r="AB19" s="49" t="n">
        <f aca="false">IF(SUMIFS('AP Data (NetSuite)'!H2:H97,'AP Data (NetSuite)'!E2:E97,"*Materials*",'AP Data (NetSuite)'!L2:L97,26)&gt;0,SUMIFS('AP Data (NetSuite)'!H2:H97,'AP Data (NetSuite)'!E2:E97,"*Materials*",'AP Data (NetSuite)'!L2:L97,26),IF(26&gt;Assumptions!$B$8,46700,0))</f>
        <v>46700</v>
      </c>
    </row>
    <row r="20" customFormat="false" ht="15.75" hidden="false" customHeight="true" outlineLevel="0" collapsed="false">
      <c r="A20" s="45" t="s">
        <v>385</v>
      </c>
      <c r="B20" s="46" t="n">
        <f aca="false">SUM(C20:AB20)</f>
        <v>31200</v>
      </c>
      <c r="C20" s="47" t="n">
        <f aca="false">IF(SUMIFS('AP Data (NetSuite)'!H2:H97,'AP Data (NetSuite)'!E2:E97,"*Packaging*",'AP Data (NetSuite)'!L2:L97,1)&gt;0,SUMIFS('AP Data (NetSuite)'!H2:H97,'AP Data (NetSuite)'!E2:E97,"*Packaging*",'AP Data (NetSuite)'!L2:L97,1),IF(1&gt;Assumptions!$B$8,0,0))</f>
        <v>0</v>
      </c>
      <c r="D20" s="47" t="n">
        <f aca="false">IF(SUMIFS('AP Data (NetSuite)'!H2:H97,'AP Data (NetSuite)'!E2:E97,"*Packaging*",'AP Data (NetSuite)'!L2:L97,2)&gt;0,SUMIFS('AP Data (NetSuite)'!H2:H97,'AP Data (NetSuite)'!E2:E97,"*Packaging*",'AP Data (NetSuite)'!L2:L97,2),IF(2&gt;Assumptions!$B$8,0,0))</f>
        <v>0</v>
      </c>
      <c r="E20" s="47" t="n">
        <f aca="false">IF(SUMIFS('AP Data (NetSuite)'!H2:H97,'AP Data (NetSuite)'!E2:E97,"*Packaging*",'AP Data (NetSuite)'!L2:L97,3)&gt;0,SUMIFS('AP Data (NetSuite)'!H2:H97,'AP Data (NetSuite)'!E2:E97,"*Packaging*",'AP Data (NetSuite)'!L2:L97,3),IF(3&gt;Assumptions!$B$8,0,0))</f>
        <v>0</v>
      </c>
      <c r="F20" s="47" t="n">
        <f aca="false">IF(SUMIFS('AP Data (NetSuite)'!H2:H97,'AP Data (NetSuite)'!E2:E97,"*Packaging*",'AP Data (NetSuite)'!L2:L97,4)&gt;0,SUMIFS('AP Data (NetSuite)'!H2:H97,'AP Data (NetSuite)'!E2:E97,"*Packaging*",'AP Data (NetSuite)'!L2:L97,4),IF(4&gt;Assumptions!$B$8,0,0))</f>
        <v>0</v>
      </c>
      <c r="G20" s="47" t="n">
        <f aca="false">IF(SUMIFS('AP Data (NetSuite)'!H2:H97,'AP Data (NetSuite)'!E2:E97,"*Packaging*",'AP Data (NetSuite)'!L2:L97,5)&gt;0,SUMIFS('AP Data (NetSuite)'!H2:H97,'AP Data (NetSuite)'!E2:E97,"*Packaging*",'AP Data (NetSuite)'!L2:L97,5),IF(5&gt;Assumptions!$B$8,0,0))</f>
        <v>0</v>
      </c>
      <c r="H20" s="47" t="n">
        <f aca="false">IF(SUMIFS('AP Data (NetSuite)'!H2:H97,'AP Data (NetSuite)'!E2:E97,"*Packaging*",'AP Data (NetSuite)'!L2:L97,6)&gt;0,SUMIFS('AP Data (NetSuite)'!H2:H97,'AP Data (NetSuite)'!E2:E97,"*Packaging*",'AP Data (NetSuite)'!L2:L97,6),IF(6&gt;Assumptions!$B$8,0,0))</f>
        <v>0</v>
      </c>
      <c r="I20" s="47" t="n">
        <f aca="false">IF(SUMIFS('AP Data (NetSuite)'!H2:H97,'AP Data (NetSuite)'!E2:E97,"*Packaging*",'AP Data (NetSuite)'!L2:L97,7)&gt;0,SUMIFS('AP Data (NetSuite)'!H2:H97,'AP Data (NetSuite)'!E2:E97,"*Packaging*",'AP Data (NetSuite)'!L2:L97,7),IF(7&gt;Assumptions!$B$8,0,0))</f>
        <v>0</v>
      </c>
      <c r="J20" s="47" t="n">
        <f aca="false">IF(SUMIFS('AP Data (NetSuite)'!H2:H97,'AP Data (NetSuite)'!E2:E97,"*Packaging*",'AP Data (NetSuite)'!L2:L97,8)&gt;0,SUMIFS('AP Data (NetSuite)'!H2:H97,'AP Data (NetSuite)'!E2:E97,"*Packaging*",'AP Data (NetSuite)'!L2:L97,8),IF(8&gt;Assumptions!$B$8,0,0))</f>
        <v>0</v>
      </c>
      <c r="K20" s="47" t="n">
        <f aca="false">IF(SUMIFS('AP Data (NetSuite)'!H2:H97,'AP Data (NetSuite)'!E2:E97,"*Packaging*",'AP Data (NetSuite)'!L2:L97,9)&gt;0,SUMIFS('AP Data (NetSuite)'!H2:H97,'AP Data (NetSuite)'!E2:E97,"*Packaging*",'AP Data (NetSuite)'!L2:L97,9),IF(9&gt;Assumptions!$B$8,0,0))</f>
        <v>0</v>
      </c>
      <c r="L20" s="47" t="n">
        <f aca="false">IF(SUMIFS('AP Data (NetSuite)'!H2:H97,'AP Data (NetSuite)'!E2:E97,"*Packaging*",'AP Data (NetSuite)'!L2:L97,10)&gt;0,SUMIFS('AP Data (NetSuite)'!H2:H97,'AP Data (NetSuite)'!E2:E97,"*Packaging*",'AP Data (NetSuite)'!L2:L97,10),IF(10&gt;Assumptions!$B$8,0,0))</f>
        <v>0</v>
      </c>
      <c r="M20" s="47" t="n">
        <f aca="false">IF(SUMIFS('AP Data (NetSuite)'!H2:H97,'AP Data (NetSuite)'!E2:E97,"*Packaging*",'AP Data (NetSuite)'!L2:L97,11)&gt;0,SUMIFS('AP Data (NetSuite)'!H2:H97,'AP Data (NetSuite)'!E2:E97,"*Packaging*",'AP Data (NetSuite)'!L2:L97,11),IF(11&gt;Assumptions!$B$8,0,0))</f>
        <v>0</v>
      </c>
      <c r="N20" s="47" t="n">
        <f aca="false">IF(SUMIFS('AP Data (NetSuite)'!H2:H97,'AP Data (NetSuite)'!E2:E97,"*Packaging*",'AP Data (NetSuite)'!L2:L97,12)&gt;0,SUMIFS('AP Data (NetSuite)'!H2:H97,'AP Data (NetSuite)'!E2:E97,"*Packaging*",'AP Data (NetSuite)'!L2:L97,12),IF(12&gt;Assumptions!$B$8,0,0))</f>
        <v>0</v>
      </c>
      <c r="O20" s="47" t="n">
        <f aca="false">IF(SUMIFS('AP Data (NetSuite)'!H2:H97,'AP Data (NetSuite)'!E2:E97,"*Packaging*",'AP Data (NetSuite)'!L2:L97,13)&gt;0,SUMIFS('AP Data (NetSuite)'!H2:H97,'AP Data (NetSuite)'!E2:E97,"*Packaging*",'AP Data (NetSuite)'!L2:L97,13),IF(13&gt;Assumptions!$B$8,0,0))</f>
        <v>0</v>
      </c>
      <c r="P20" s="47" t="n">
        <f aca="false">IF(SUMIFS('AP Data (NetSuite)'!H2:H97,'AP Data (NetSuite)'!E2:E97,"*Packaging*",'AP Data (NetSuite)'!L2:L97,14)&gt;0,SUMIFS('AP Data (NetSuite)'!H2:H97,'AP Data (NetSuite)'!E2:E97,"*Packaging*",'AP Data (NetSuite)'!L2:L97,14),IF(14&gt;Assumptions!$B$8,28400,0))</f>
        <v>0</v>
      </c>
      <c r="Q20" s="47" t="n">
        <f aca="false">IF(SUMIFS('AP Data (NetSuite)'!H2:H97,'AP Data (NetSuite)'!E2:E97,"*Packaging*",'AP Data (NetSuite)'!L2:L97,15)&gt;0,SUMIFS('AP Data (NetSuite)'!H2:H97,'AP Data (NetSuite)'!E2:E97,"*Packaging*",'AP Data (NetSuite)'!L2:L97,15),IF(15&gt;Assumptions!$B$8,0,0))</f>
        <v>0</v>
      </c>
      <c r="R20" s="47" t="n">
        <f aca="false">IF(SUMIFS('AP Data (NetSuite)'!H2:H97,'AP Data (NetSuite)'!E2:E97,"*Packaging*",'AP Data (NetSuite)'!L2:L97,16)&gt;0,SUMIFS('AP Data (NetSuite)'!H2:H97,'AP Data (NetSuite)'!E2:E97,"*Packaging*",'AP Data (NetSuite)'!L2:L97,16),IF(16&gt;Assumptions!$B$8,0,0))</f>
        <v>0</v>
      </c>
      <c r="S20" s="48" t="n">
        <f aca="false">IF(SUMIFS('AP Data (NetSuite)'!H2:H97,'AP Data (NetSuite)'!E2:E97,"*Packaging*",'AP Data (NetSuite)'!L2:L97,17)&gt;0,SUMIFS('AP Data (NetSuite)'!H2:H97,'AP Data (NetSuite)'!E2:E97,"*Packaging*",'AP Data (NetSuite)'!L2:L97,17),IF(17&gt;Assumptions!$B$8,0,0))</f>
        <v>0</v>
      </c>
      <c r="T20" s="49" t="n">
        <f aca="false">IF(SUMIFS('AP Data (NetSuite)'!H2:H97,'AP Data (NetSuite)'!E2:E97,"*Packaging*",'AP Data (NetSuite)'!L2:L97,18)&gt;0,SUMIFS('AP Data (NetSuite)'!H2:H97,'AP Data (NetSuite)'!E2:E97,"*Packaging*",'AP Data (NetSuite)'!L2:L97,18),IF(18&gt;Assumptions!$B$8,0,0))</f>
        <v>0</v>
      </c>
      <c r="U20" s="49" t="n">
        <f aca="false">IF(SUMIFS('AP Data (NetSuite)'!H2:H97,'AP Data (NetSuite)'!E2:E97,"*Packaging*",'AP Data (NetSuite)'!L2:L97,19)&gt;0,SUMIFS('AP Data (NetSuite)'!H2:H97,'AP Data (NetSuite)'!E2:E97,"*Packaging*",'AP Data (NetSuite)'!L2:L97,19),IF(19&gt;Assumptions!$B$8,0,0))</f>
        <v>0</v>
      </c>
      <c r="V20" s="49" t="n">
        <f aca="false">IF(SUMIFS('AP Data (NetSuite)'!H2:H97,'AP Data (NetSuite)'!E2:E97,"*Packaging*",'AP Data (NetSuite)'!L2:L97,20)&gt;0,SUMIFS('AP Data (NetSuite)'!H2:H97,'AP Data (NetSuite)'!E2:E97,"*Packaging*",'AP Data (NetSuite)'!L2:L97,20),IF(20&gt;Assumptions!$B$8,0,0))</f>
        <v>0</v>
      </c>
      <c r="W20" s="49" t="n">
        <f aca="false">IF(SUMIFS('AP Data (NetSuite)'!H2:H97,'AP Data (NetSuite)'!E2:E97,"*Packaging*",'AP Data (NetSuite)'!L2:L97,21)&gt;0,SUMIFS('AP Data (NetSuite)'!H2:H97,'AP Data (NetSuite)'!E2:E97,"*Packaging*",'AP Data (NetSuite)'!L2:L97,21),IF(21&gt;Assumptions!$B$8,0,0))</f>
        <v>0</v>
      </c>
      <c r="X20" s="49" t="n">
        <f aca="false">IF(SUMIFS('AP Data (NetSuite)'!H2:H97,'AP Data (NetSuite)'!E2:E97,"*Packaging*",'AP Data (NetSuite)'!L2:L97,22)&gt;0,SUMIFS('AP Data (NetSuite)'!H2:H97,'AP Data (NetSuite)'!E2:E97,"*Packaging*",'AP Data (NetSuite)'!L2:L97,22),IF(22&gt;Assumptions!$B$8,31200,0))</f>
        <v>31200</v>
      </c>
      <c r="Y20" s="49" t="n">
        <f aca="false">IF(SUMIFS('AP Data (NetSuite)'!H2:H97,'AP Data (NetSuite)'!E2:E97,"*Packaging*",'AP Data (NetSuite)'!L2:L97,23)&gt;0,SUMIFS('AP Data (NetSuite)'!H2:H97,'AP Data (NetSuite)'!E2:E97,"*Packaging*",'AP Data (NetSuite)'!L2:L97,23),IF(23&gt;Assumptions!$B$8,0,0))</f>
        <v>0</v>
      </c>
      <c r="Z20" s="49" t="n">
        <f aca="false">IF(SUMIFS('AP Data (NetSuite)'!H2:H97,'AP Data (NetSuite)'!E2:E97,"*Packaging*",'AP Data (NetSuite)'!L2:L97,24)&gt;0,SUMIFS('AP Data (NetSuite)'!H2:H97,'AP Data (NetSuite)'!E2:E97,"*Packaging*",'AP Data (NetSuite)'!L2:L97,24),IF(24&gt;Assumptions!$B$8,0,0))</f>
        <v>0</v>
      </c>
      <c r="AA20" s="49" t="n">
        <f aca="false">IF(SUMIFS('AP Data (NetSuite)'!H2:H97,'AP Data (NetSuite)'!E2:E97,"*Packaging*",'AP Data (NetSuite)'!L2:L97,25)&gt;0,SUMIFS('AP Data (NetSuite)'!H2:H97,'AP Data (NetSuite)'!E2:E97,"*Packaging*",'AP Data (NetSuite)'!L2:L97,25),IF(25&gt;Assumptions!$B$8,0,0))</f>
        <v>0</v>
      </c>
      <c r="AB20" s="49" t="n">
        <f aca="false">IF(SUMIFS('AP Data (NetSuite)'!H2:H97,'AP Data (NetSuite)'!E2:E97,"*Packaging*",'AP Data (NetSuite)'!L2:L97,26)&gt;0,SUMIFS('AP Data (NetSuite)'!H2:H97,'AP Data (NetSuite)'!E2:E97,"*Packaging*",'AP Data (NetSuite)'!L2:L97,26),IF(26&gt;Assumptions!$B$8,0,0))</f>
        <v>0</v>
      </c>
    </row>
    <row r="21" customFormat="false" ht="15.75" hidden="false" customHeight="true" outlineLevel="0" collapsed="false">
      <c r="A21" s="45" t="s">
        <v>386</v>
      </c>
      <c r="B21" s="46" t="n">
        <f aca="false">SUM(C21:AB21)</f>
        <v>91900</v>
      </c>
      <c r="C21" s="47" t="n">
        <f aca="false">IF(SUMIFS('AP Data (NetSuite)'!H2:H97,'AP Data (NetSuite)'!E2:E97,"*IT*",'AP Data (NetSuite)'!L2:L97,1)&gt;0,SUMIFS('AP Data (NetSuite)'!H2:H97,'AP Data (NetSuite)'!E2:E97,"*IT*",'AP Data (NetSuite)'!L2:L97,1),IF(1&gt;Assumptions!$B$8,0,0))</f>
        <v>8700</v>
      </c>
      <c r="D21" s="47" t="n">
        <f aca="false">IF(SUMIFS('AP Data (NetSuite)'!H2:H97,'AP Data (NetSuite)'!E2:E97,"*IT*",'AP Data (NetSuite)'!L2:L97,2)&gt;0,SUMIFS('AP Data (NetSuite)'!H2:H97,'AP Data (NetSuite)'!E2:E97,"*IT*",'AP Data (NetSuite)'!L2:L97,2),IF(2&gt;Assumptions!$B$8,0,0))</f>
        <v>6200</v>
      </c>
      <c r="E21" s="47" t="n">
        <f aca="false">IF(SUMIFS('AP Data (NetSuite)'!H2:H97,'AP Data (NetSuite)'!E2:E97,"*IT*",'AP Data (NetSuite)'!L2:L97,3)&gt;0,SUMIFS('AP Data (NetSuite)'!H2:H97,'AP Data (NetSuite)'!E2:E97,"*IT*",'AP Data (NetSuite)'!L2:L97,3),IF(3&gt;Assumptions!$B$8,0,0))</f>
        <v>0</v>
      </c>
      <c r="F21" s="47" t="n">
        <f aca="false">IF(SUMIFS('AP Data (NetSuite)'!H2:H97,'AP Data (NetSuite)'!E2:E97,"*IT*",'AP Data (NetSuite)'!L2:L97,4)&gt;0,SUMIFS('AP Data (NetSuite)'!H2:H97,'AP Data (NetSuite)'!E2:E97,"*IT*",'AP Data (NetSuite)'!L2:L97,4),IF(4&gt;Assumptions!$B$8,0,0))</f>
        <v>0</v>
      </c>
      <c r="G21" s="47" t="n">
        <f aca="false">IF(SUMIFS('AP Data (NetSuite)'!H2:H97,'AP Data (NetSuite)'!E2:E97,"*IT*",'AP Data (NetSuite)'!L2:L97,5)&gt;0,SUMIFS('AP Data (NetSuite)'!H2:H97,'AP Data (NetSuite)'!E2:E97,"*IT*",'AP Data (NetSuite)'!L2:L97,5),IF(5&gt;Assumptions!$B$8,0,0))</f>
        <v>8700</v>
      </c>
      <c r="H21" s="47" t="n">
        <f aca="false">IF(SUMIFS('AP Data (NetSuite)'!H2:H97,'AP Data (NetSuite)'!E2:E97,"*IT*",'AP Data (NetSuite)'!L2:L97,6)&gt;0,SUMIFS('AP Data (NetSuite)'!H2:H97,'AP Data (NetSuite)'!E2:E97,"*IT*",'AP Data (NetSuite)'!L2:L97,6),IF(6&gt;Assumptions!$B$8,0,0))</f>
        <v>6200</v>
      </c>
      <c r="I21" s="47" t="n">
        <f aca="false">IF(SUMIFS('AP Data (NetSuite)'!H2:H97,'AP Data (NetSuite)'!E2:E97,"*IT*",'AP Data (NetSuite)'!L2:L97,7)&gt;0,SUMIFS('AP Data (NetSuite)'!H2:H97,'AP Data (NetSuite)'!E2:E97,"*IT*",'AP Data (NetSuite)'!L2:L97,7),IF(7&gt;Assumptions!$B$8,0,0))</f>
        <v>0</v>
      </c>
      <c r="J21" s="47" t="n">
        <f aca="false">IF(SUMIFS('AP Data (NetSuite)'!H2:H97,'AP Data (NetSuite)'!E2:E97,"*IT*",'AP Data (NetSuite)'!L2:L97,8)&gt;0,SUMIFS('AP Data (NetSuite)'!H2:H97,'AP Data (NetSuite)'!E2:E97,"*IT*",'AP Data (NetSuite)'!L2:L97,8),IF(8&gt;Assumptions!$B$8,0,0))</f>
        <v>0</v>
      </c>
      <c r="K21" s="47" t="n">
        <f aca="false">IF(SUMIFS('AP Data (NetSuite)'!H2:H97,'AP Data (NetSuite)'!E2:E97,"*IT*",'AP Data (NetSuite)'!L2:L97,9)&gt;0,SUMIFS('AP Data (NetSuite)'!H2:H97,'AP Data (NetSuite)'!E2:E97,"*IT*",'AP Data (NetSuite)'!L2:L97,9),IF(9&gt;Assumptions!$B$8,0,0))</f>
        <v>8700</v>
      </c>
      <c r="L21" s="47" t="n">
        <f aca="false">IF(SUMIFS('AP Data (NetSuite)'!H2:H97,'AP Data (NetSuite)'!E2:E97,"*IT*",'AP Data (NetSuite)'!L2:L97,10)&gt;0,SUMIFS('AP Data (NetSuite)'!H2:H97,'AP Data (NetSuite)'!E2:E97,"*IT*",'AP Data (NetSuite)'!L2:L97,10),IF(10&gt;Assumptions!$B$8,0,0))</f>
        <v>6200</v>
      </c>
      <c r="M21" s="47" t="n">
        <f aca="false">IF(SUMIFS('AP Data (NetSuite)'!H2:H97,'AP Data (NetSuite)'!E2:E97,"*IT*",'AP Data (NetSuite)'!L2:L97,11)&gt;0,SUMIFS('AP Data (NetSuite)'!H2:H97,'AP Data (NetSuite)'!E2:E97,"*IT*",'AP Data (NetSuite)'!L2:L97,11),IF(11&gt;Assumptions!$B$8,0,0))</f>
        <v>0</v>
      </c>
      <c r="N21" s="47" t="n">
        <f aca="false">IF(SUMIFS('AP Data (NetSuite)'!H2:H97,'AP Data (NetSuite)'!E2:E97,"*IT*",'AP Data (NetSuite)'!L2:L97,12)&gt;0,SUMIFS('AP Data (NetSuite)'!H2:H97,'AP Data (NetSuite)'!E2:E97,"*IT*",'AP Data (NetSuite)'!L2:L97,12),IF(12&gt;Assumptions!$B$8,0,0))</f>
        <v>6200</v>
      </c>
      <c r="O21" s="47" t="n">
        <f aca="false">IF(SUMIFS('AP Data (NetSuite)'!H2:H97,'AP Data (NetSuite)'!E2:E97,"*IT*",'AP Data (NetSuite)'!L2:L97,13)&gt;0,SUMIFS('AP Data (NetSuite)'!H2:H97,'AP Data (NetSuite)'!E2:E97,"*IT*",'AP Data (NetSuite)'!L2:L97,13),IF(13&gt;Assumptions!$B$8,8700,0))</f>
        <v>8700</v>
      </c>
      <c r="P21" s="47" t="n">
        <f aca="false">IF(SUMIFS('AP Data (NetSuite)'!H2:H97,'AP Data (NetSuite)'!E2:E97,"*IT*",'AP Data (NetSuite)'!L2:L97,14)&gt;0,SUMIFS('AP Data (NetSuite)'!H2:H97,'AP Data (NetSuite)'!E2:E97,"*IT*",'AP Data (NetSuite)'!L2:L97,14),IF(14&gt;Assumptions!$B$8,0,0))</f>
        <v>6200</v>
      </c>
      <c r="Q21" s="47" t="n">
        <f aca="false">IF(SUMIFS('AP Data (NetSuite)'!H2:H97,'AP Data (NetSuite)'!E2:E97,"*IT*",'AP Data (NetSuite)'!L2:L97,15)&gt;0,SUMIFS('AP Data (NetSuite)'!H2:H97,'AP Data (NetSuite)'!E2:E97,"*IT*",'AP Data (NetSuite)'!L2:L97,15),IF(15&gt;Assumptions!$B$8,0,0))</f>
        <v>0</v>
      </c>
      <c r="R21" s="47" t="n">
        <f aca="false">IF(SUMIFS('AP Data (NetSuite)'!H2:H97,'AP Data (NetSuite)'!E2:E97,"*IT*",'AP Data (NetSuite)'!L2:L97,16)&gt;0,SUMIFS('AP Data (NetSuite)'!H2:H97,'AP Data (NetSuite)'!E2:E97,"*IT*",'AP Data (NetSuite)'!L2:L97,16),IF(16&gt;Assumptions!$B$8,0,0))</f>
        <v>0</v>
      </c>
      <c r="S21" s="48" t="n">
        <f aca="false">IF(SUMIFS('AP Data (NetSuite)'!H2:H97,'AP Data (NetSuite)'!E2:E97,"*IT*",'AP Data (NetSuite)'!L2:L97,17)&gt;0,SUMIFS('AP Data (NetSuite)'!H2:H97,'AP Data (NetSuite)'!E2:E97,"*IT*",'AP Data (NetSuite)'!L2:L97,17),IF(17&gt;Assumptions!$B$8,8700,0))</f>
        <v>8700</v>
      </c>
      <c r="T21" s="49" t="n">
        <f aca="false">IF(SUMIFS('AP Data (NetSuite)'!H2:H97,'AP Data (NetSuite)'!E2:E97,"*IT*",'AP Data (NetSuite)'!L2:L97,18)&gt;0,SUMIFS('AP Data (NetSuite)'!H2:H97,'AP Data (NetSuite)'!E2:E97,"*IT*",'AP Data (NetSuite)'!L2:L97,18),IF(18&gt;Assumptions!$B$8,0,0))</f>
        <v>0</v>
      </c>
      <c r="U21" s="49" t="n">
        <f aca="false">IF(SUMIFS('AP Data (NetSuite)'!H2:H97,'AP Data (NetSuite)'!E2:E97,"*IT*",'AP Data (NetSuite)'!L2:L97,19)&gt;0,SUMIFS('AP Data (NetSuite)'!H2:H97,'AP Data (NetSuite)'!E2:E97,"*IT*",'AP Data (NetSuite)'!L2:L97,19),IF(19&gt;Assumptions!$B$8,0,0))</f>
        <v>0</v>
      </c>
      <c r="V21" s="49" t="n">
        <f aca="false">IF(SUMIFS('AP Data (NetSuite)'!H2:H97,'AP Data (NetSuite)'!E2:E97,"*IT*",'AP Data (NetSuite)'!L2:L97,20)&gt;0,SUMIFS('AP Data (NetSuite)'!H2:H97,'AP Data (NetSuite)'!E2:E97,"*IT*",'AP Data (NetSuite)'!L2:L97,20),IF(20&gt;Assumptions!$B$8,0,0))</f>
        <v>0</v>
      </c>
      <c r="W21" s="49" t="n">
        <f aca="false">IF(SUMIFS('AP Data (NetSuite)'!H2:H97,'AP Data (NetSuite)'!E2:E97,"*IT*",'AP Data (NetSuite)'!L2:L97,21)&gt;0,SUMIFS('AP Data (NetSuite)'!H2:H97,'AP Data (NetSuite)'!E2:E97,"*IT*",'AP Data (NetSuite)'!L2:L97,21),IF(21&gt;Assumptions!$B$8,8700,0))</f>
        <v>8700</v>
      </c>
      <c r="X21" s="49" t="n">
        <f aca="false">IF(SUMIFS('AP Data (NetSuite)'!H2:H97,'AP Data (NetSuite)'!E2:E97,"*IT*",'AP Data (NetSuite)'!L2:L97,22)&gt;0,SUMIFS('AP Data (NetSuite)'!H2:H97,'AP Data (NetSuite)'!E2:E97,"*IT*",'AP Data (NetSuite)'!L2:L97,22),IF(22&gt;Assumptions!$B$8,0,0))</f>
        <v>0</v>
      </c>
      <c r="Y21" s="49" t="n">
        <f aca="false">IF(SUMIFS('AP Data (NetSuite)'!H2:H97,'AP Data (NetSuite)'!E2:E97,"*IT*",'AP Data (NetSuite)'!L2:L97,23)&gt;0,SUMIFS('AP Data (NetSuite)'!H2:H97,'AP Data (NetSuite)'!E2:E97,"*IT*",'AP Data (NetSuite)'!L2:L97,23),IF(23&gt;Assumptions!$B$8,0,0))</f>
        <v>0</v>
      </c>
      <c r="Z21" s="49" t="n">
        <f aca="false">IF(SUMIFS('AP Data (NetSuite)'!H2:H97,'AP Data (NetSuite)'!E2:E97,"*IT*",'AP Data (NetSuite)'!L2:L97,24)&gt;0,SUMIFS('AP Data (NetSuite)'!H2:H97,'AP Data (NetSuite)'!E2:E97,"*IT*",'AP Data (NetSuite)'!L2:L97,24),IF(24&gt;Assumptions!$B$8,0,0))</f>
        <v>0</v>
      </c>
      <c r="AA21" s="49" t="n">
        <f aca="false">IF(SUMIFS('AP Data (NetSuite)'!H2:H97,'AP Data (NetSuite)'!E2:E97,"*IT*",'AP Data (NetSuite)'!L2:L97,25)&gt;0,SUMIFS('AP Data (NetSuite)'!H2:H97,'AP Data (NetSuite)'!E2:E97,"*IT*",'AP Data (NetSuite)'!L2:L97,25),IF(25&gt;Assumptions!$B$8,8700,0))</f>
        <v>8700</v>
      </c>
      <c r="AB21" s="49" t="n">
        <f aca="false">IF(SUMIFS('AP Data (NetSuite)'!H2:H97,'AP Data (NetSuite)'!E2:E97,"*IT*",'AP Data (NetSuite)'!L2:L97,26)&gt;0,SUMIFS('AP Data (NetSuite)'!H2:H97,'AP Data (NetSuite)'!E2:E97,"*IT*",'AP Data (NetSuite)'!L2:L97,26),IF(26&gt;Assumptions!$B$8,0,0))</f>
        <v>0</v>
      </c>
    </row>
    <row r="22" customFormat="false" ht="15.75" hidden="false" customHeight="true" outlineLevel="0" collapsed="false">
      <c r="A22" s="45" t="s">
        <v>387</v>
      </c>
      <c r="B22" s="46" t="n">
        <f aca="false">SUM(C22:AB22)</f>
        <v>96300</v>
      </c>
      <c r="C22" s="47" t="n">
        <f aca="false">IF(SUMIFS('AP Data (NetSuite)'!H2:H97,'AP Data (NetSuite)'!E2:E97,"*Professional*",'AP Data (NetSuite)'!L2:L97,1)&gt;0,SUMIFS('AP Data (NetSuite)'!H2:H97,'AP Data (NetSuite)'!E2:E97,"*Professional*",'AP Data (NetSuite)'!L2:L97,1),IF(1&gt;Assumptions!$B$8,0,0))</f>
        <v>0</v>
      </c>
      <c r="D22" s="47" t="n">
        <f aca="false">IF(SUMIFS('AP Data (NetSuite)'!H2:H97,'AP Data (NetSuite)'!E2:E97,"*Professional*",'AP Data (NetSuite)'!L2:L97,2)&gt;0,SUMIFS('AP Data (NetSuite)'!H2:H97,'AP Data (NetSuite)'!E2:E97,"*Professional*",'AP Data (NetSuite)'!L2:L97,2),IF(2&gt;Assumptions!$B$8,0,0))</f>
        <v>11500</v>
      </c>
      <c r="E22" s="47" t="n">
        <f aca="false">IF(SUMIFS('AP Data (NetSuite)'!H2:H97,'AP Data (NetSuite)'!E2:E97,"*Professional*",'AP Data (NetSuite)'!L2:L97,3)&gt;0,SUMIFS('AP Data (NetSuite)'!H2:H97,'AP Data (NetSuite)'!E2:E97,"*Professional*",'AP Data (NetSuite)'!L2:L97,3),IF(3&gt;Assumptions!$B$8,0,0))</f>
        <v>0</v>
      </c>
      <c r="F22" s="47" t="n">
        <f aca="false">IF(SUMIFS('AP Data (NetSuite)'!H2:H97,'AP Data (NetSuite)'!E2:E97,"*Professional*",'AP Data (NetSuite)'!L2:L97,4)&gt;0,SUMIFS('AP Data (NetSuite)'!H2:H97,'AP Data (NetSuite)'!E2:E97,"*Professional*",'AP Data (NetSuite)'!L2:L97,4),IF(4&gt;Assumptions!$B$8,0,0))</f>
        <v>0</v>
      </c>
      <c r="G22" s="47" t="n">
        <f aca="false">IF(SUMIFS('AP Data (NetSuite)'!H2:H97,'AP Data (NetSuite)'!E2:E97,"*Professional*",'AP Data (NetSuite)'!L2:L97,5)&gt;0,SUMIFS('AP Data (NetSuite)'!H2:H97,'AP Data (NetSuite)'!E2:E97,"*Professional*",'AP Data (NetSuite)'!L2:L97,5),IF(5&gt;Assumptions!$B$8,0,0))</f>
        <v>0</v>
      </c>
      <c r="H22" s="47" t="n">
        <f aca="false">IF(SUMIFS('AP Data (NetSuite)'!H2:H97,'AP Data (NetSuite)'!E2:E97,"*Professional*",'AP Data (NetSuite)'!L2:L97,6)&gt;0,SUMIFS('AP Data (NetSuite)'!H2:H97,'AP Data (NetSuite)'!E2:E97,"*Professional*",'AP Data (NetSuite)'!L2:L97,6),IF(6&gt;Assumptions!$B$8,0,0))</f>
        <v>12200</v>
      </c>
      <c r="I22" s="47" t="n">
        <f aca="false">IF(SUMIFS('AP Data (NetSuite)'!H2:H97,'AP Data (NetSuite)'!E2:E97,"*Professional*",'AP Data (NetSuite)'!L2:L97,7)&gt;0,SUMIFS('AP Data (NetSuite)'!H2:H97,'AP Data (NetSuite)'!E2:E97,"*Professional*",'AP Data (NetSuite)'!L2:L97,7),IF(7&gt;Assumptions!$B$8,0,0))</f>
        <v>0</v>
      </c>
      <c r="J22" s="47" t="n">
        <f aca="false">IF(SUMIFS('AP Data (NetSuite)'!H2:H97,'AP Data (NetSuite)'!E2:E97,"*Professional*",'AP Data (NetSuite)'!L2:L97,8)&gt;0,SUMIFS('AP Data (NetSuite)'!H2:H97,'AP Data (NetSuite)'!E2:E97,"*Professional*",'AP Data (NetSuite)'!L2:L97,8),IF(8&gt;Assumptions!$B$8,0,0))</f>
        <v>10400</v>
      </c>
      <c r="K22" s="47" t="n">
        <f aca="false">IF(SUMIFS('AP Data (NetSuite)'!H2:H97,'AP Data (NetSuite)'!E2:E97,"*Professional*",'AP Data (NetSuite)'!L2:L97,9)&gt;0,SUMIFS('AP Data (NetSuite)'!H2:H97,'AP Data (NetSuite)'!E2:E97,"*Professional*",'AP Data (NetSuite)'!L2:L97,9),IF(9&gt;Assumptions!$B$8,0,0))</f>
        <v>0</v>
      </c>
      <c r="L22" s="47" t="n">
        <f aca="false">IF(SUMIFS('AP Data (NetSuite)'!H2:H97,'AP Data (NetSuite)'!E2:E97,"*Professional*",'AP Data (NetSuite)'!L2:L97,10)&gt;0,SUMIFS('AP Data (NetSuite)'!H2:H97,'AP Data (NetSuite)'!E2:E97,"*Professional*",'AP Data (NetSuite)'!L2:L97,10),IF(10&gt;Assumptions!$B$8,0,0))</f>
        <v>11800</v>
      </c>
      <c r="M22" s="47" t="n">
        <f aca="false">IF(SUMIFS('AP Data (NetSuite)'!H2:H97,'AP Data (NetSuite)'!E2:E97,"*Professional*",'AP Data (NetSuite)'!L2:L97,11)&gt;0,SUMIFS('AP Data (NetSuite)'!H2:H97,'AP Data (NetSuite)'!E2:E97,"*Professional*",'AP Data (NetSuite)'!L2:L97,11),IF(11&gt;Assumptions!$B$8,0,0))</f>
        <v>0</v>
      </c>
      <c r="N22" s="47" t="n">
        <f aca="false">IF(SUMIFS('AP Data (NetSuite)'!H2:H97,'AP Data (NetSuite)'!E2:E97,"*Professional*",'AP Data (NetSuite)'!L2:L97,12)&gt;0,SUMIFS('AP Data (NetSuite)'!H2:H97,'AP Data (NetSuite)'!E2:E97,"*Professional*",'AP Data (NetSuite)'!L2:L97,12),IF(12&gt;Assumptions!$B$8,0,0))</f>
        <v>13100</v>
      </c>
      <c r="O22" s="47" t="n">
        <f aca="false">IF(SUMIFS('AP Data (NetSuite)'!H2:H97,'AP Data (NetSuite)'!E2:E97,"*Professional*",'AP Data (NetSuite)'!L2:L97,13)&gt;0,SUMIFS('AP Data (NetSuite)'!H2:H97,'AP Data (NetSuite)'!E2:E97,"*Professional*",'AP Data (NetSuite)'!L2:L97,13),IF(13&gt;Assumptions!$B$8,0,0))</f>
        <v>0</v>
      </c>
      <c r="P22" s="47" t="n">
        <f aca="false">IF(SUMIFS('AP Data (NetSuite)'!H2:H97,'AP Data (NetSuite)'!E2:E97,"*Professional*",'AP Data (NetSuite)'!L2:L97,14)&gt;0,SUMIFS('AP Data (NetSuite)'!H2:H97,'AP Data (NetSuite)'!E2:E97,"*Professional*",'AP Data (NetSuite)'!L2:L97,14),IF(14&gt;Assumptions!$B$8,12400,0))</f>
        <v>12400</v>
      </c>
      <c r="Q22" s="47" t="n">
        <f aca="false">IF(SUMIFS('AP Data (NetSuite)'!H2:H97,'AP Data (NetSuite)'!E2:E97,"*Professional*",'AP Data (NetSuite)'!L2:L97,15)&gt;0,SUMIFS('AP Data (NetSuite)'!H2:H97,'AP Data (NetSuite)'!E2:E97,"*Professional*",'AP Data (NetSuite)'!L2:L97,15),IF(15&gt;Assumptions!$B$8,0,0))</f>
        <v>0</v>
      </c>
      <c r="R22" s="47" t="n">
        <f aca="false">IF(SUMIFS('AP Data (NetSuite)'!H2:H97,'AP Data (NetSuite)'!E2:E97,"*Professional*",'AP Data (NetSuite)'!L2:L97,16)&gt;0,SUMIFS('AP Data (NetSuite)'!H2:H97,'AP Data (NetSuite)'!E2:E97,"*Professional*",'AP Data (NetSuite)'!L2:L97,16),IF(16&gt;Assumptions!$B$8,0,0))</f>
        <v>0</v>
      </c>
      <c r="S22" s="48" t="n">
        <f aca="false">IF(SUMIFS('AP Data (NetSuite)'!H2:H97,'AP Data (NetSuite)'!E2:E97,"*Professional*",'AP Data (NetSuite)'!L2:L97,17)&gt;0,SUMIFS('AP Data (NetSuite)'!H2:H97,'AP Data (NetSuite)'!E2:E97,"*Professional*",'AP Data (NetSuite)'!L2:L97,17),IF(17&gt;Assumptions!$B$8,0,0))</f>
        <v>0</v>
      </c>
      <c r="T22" s="49" t="n">
        <f aca="false">IF(SUMIFS('AP Data (NetSuite)'!H2:H97,'AP Data (NetSuite)'!E2:E97,"*Professional*",'AP Data (NetSuite)'!L2:L97,18)&gt;0,SUMIFS('AP Data (NetSuite)'!H2:H97,'AP Data (NetSuite)'!E2:E97,"*Professional*",'AP Data (NetSuite)'!L2:L97,18),IF(18&gt;Assumptions!$B$8,0,0))</f>
        <v>0</v>
      </c>
      <c r="U22" s="49" t="n">
        <f aca="false">IF(SUMIFS('AP Data (NetSuite)'!H2:H97,'AP Data (NetSuite)'!E2:E97,"*Professional*",'AP Data (NetSuite)'!L2:L97,19)&gt;0,SUMIFS('AP Data (NetSuite)'!H2:H97,'AP Data (NetSuite)'!E2:E97,"*Professional*",'AP Data (NetSuite)'!L2:L97,19),IF(19&gt;Assumptions!$B$8,0,0))</f>
        <v>0</v>
      </c>
      <c r="V22" s="49" t="n">
        <f aca="false">IF(SUMIFS('AP Data (NetSuite)'!H2:H97,'AP Data (NetSuite)'!E2:E97,"*Professional*",'AP Data (NetSuite)'!L2:L97,20)&gt;0,SUMIFS('AP Data (NetSuite)'!H2:H97,'AP Data (NetSuite)'!E2:E97,"*Professional*",'AP Data (NetSuite)'!L2:L97,20),IF(20&gt;Assumptions!$B$8,11800,0))</f>
        <v>11800</v>
      </c>
      <c r="W22" s="49" t="n">
        <f aca="false">IF(SUMIFS('AP Data (NetSuite)'!H2:H97,'AP Data (NetSuite)'!E2:E97,"*Professional*",'AP Data (NetSuite)'!L2:L97,21)&gt;0,SUMIFS('AP Data (NetSuite)'!H2:H97,'AP Data (NetSuite)'!E2:E97,"*Professional*",'AP Data (NetSuite)'!L2:L97,21),IF(21&gt;Assumptions!$B$8,0,0))</f>
        <v>0</v>
      </c>
      <c r="X22" s="49" t="n">
        <f aca="false">IF(SUMIFS('AP Data (NetSuite)'!H2:H97,'AP Data (NetSuite)'!E2:E97,"*Professional*",'AP Data (NetSuite)'!L2:L97,22)&gt;0,SUMIFS('AP Data (NetSuite)'!H2:H97,'AP Data (NetSuite)'!E2:E97,"*Professional*",'AP Data (NetSuite)'!L2:L97,22),IF(22&gt;Assumptions!$B$8,0,0))</f>
        <v>0</v>
      </c>
      <c r="Y22" s="49" t="n">
        <f aca="false">IF(SUMIFS('AP Data (NetSuite)'!H2:H97,'AP Data (NetSuite)'!E2:E97,"*Professional*",'AP Data (NetSuite)'!L2:L97,23)&gt;0,SUMIFS('AP Data (NetSuite)'!H2:H97,'AP Data (NetSuite)'!E2:E97,"*Professional*",'AP Data (NetSuite)'!L2:L97,23),IF(23&gt;Assumptions!$B$8,0,0))</f>
        <v>0</v>
      </c>
      <c r="Z22" s="49" t="n">
        <f aca="false">IF(SUMIFS('AP Data (NetSuite)'!H2:H97,'AP Data (NetSuite)'!E2:E97,"*Professional*",'AP Data (NetSuite)'!L2:L97,24)&gt;0,SUMIFS('AP Data (NetSuite)'!H2:H97,'AP Data (NetSuite)'!E2:E97,"*Professional*",'AP Data (NetSuite)'!L2:L97,24),IF(24&gt;Assumptions!$B$8,0,0))</f>
        <v>0</v>
      </c>
      <c r="AA22" s="49" t="n">
        <f aca="false">IF(SUMIFS('AP Data (NetSuite)'!H2:H97,'AP Data (NetSuite)'!E2:E97,"*Professional*",'AP Data (NetSuite)'!L2:L97,25)&gt;0,SUMIFS('AP Data (NetSuite)'!H2:H97,'AP Data (NetSuite)'!E2:E97,"*Professional*",'AP Data (NetSuite)'!L2:L97,25),IF(25&gt;Assumptions!$B$8,0,0))</f>
        <v>0</v>
      </c>
      <c r="AB22" s="49" t="n">
        <f aca="false">IF(SUMIFS('AP Data (NetSuite)'!H2:H97,'AP Data (NetSuite)'!E2:E97,"*Professional*",'AP Data (NetSuite)'!L2:L97,26)&gt;0,SUMIFS('AP Data (NetSuite)'!H2:H97,'AP Data (NetSuite)'!E2:E97,"*Professional*",'AP Data (NetSuite)'!L2:L97,26),IF(26&gt;Assumptions!$B$8,13100,0))</f>
        <v>13100</v>
      </c>
    </row>
    <row r="23" customFormat="false" ht="15.75" hidden="false" customHeight="true" outlineLevel="0" collapsed="false">
      <c r="A23" s="45" t="s">
        <v>388</v>
      </c>
      <c r="B23" s="46" t="n">
        <f aca="false">SUM(C23:AB23)</f>
        <v>113600</v>
      </c>
      <c r="C23" s="47" t="n">
        <f aca="false">IF(SUMIFS('AP Data (NetSuite)'!H2:H97,'AP Data (NetSuite)'!E2:E97,"*Marketing*",'AP Data (NetSuite)'!L2:L97,1)&gt;0,SUMIFS('AP Data (NetSuite)'!H2:H97,'AP Data (NetSuite)'!E2:E97,"*Marketing*",'AP Data (NetSuite)'!L2:L97,1),IF(1&gt;Assumptions!$B$8,0,0))</f>
        <v>0</v>
      </c>
      <c r="D23" s="47" t="n">
        <f aca="false">IF(SUMIFS('AP Data (NetSuite)'!H2:H97,'AP Data (NetSuite)'!E2:E97,"*Marketing*",'AP Data (NetSuite)'!L2:L97,2)&gt;0,SUMIFS('AP Data (NetSuite)'!H2:H97,'AP Data (NetSuite)'!E2:E97,"*Marketing*",'AP Data (NetSuite)'!L2:L97,2),IF(2&gt;Assumptions!$B$8,0,0))</f>
        <v>0</v>
      </c>
      <c r="E23" s="47" t="n">
        <f aca="false">IF(SUMIFS('AP Data (NetSuite)'!H2:H97,'AP Data (NetSuite)'!E2:E97,"*Marketing*",'AP Data (NetSuite)'!L2:L97,3)&gt;0,SUMIFS('AP Data (NetSuite)'!H2:H97,'AP Data (NetSuite)'!E2:E97,"*Marketing*",'AP Data (NetSuite)'!L2:L97,3),IF(3&gt;Assumptions!$B$8,0,0))</f>
        <v>14200</v>
      </c>
      <c r="F23" s="47" t="n">
        <f aca="false">IF(SUMIFS('AP Data (NetSuite)'!H2:H97,'AP Data (NetSuite)'!E2:E97,"*Marketing*",'AP Data (NetSuite)'!L2:L97,4)&gt;0,SUMIFS('AP Data (NetSuite)'!H2:H97,'AP Data (NetSuite)'!E2:E97,"*Marketing*",'AP Data (NetSuite)'!L2:L97,4),IF(4&gt;Assumptions!$B$8,0,0))</f>
        <v>0</v>
      </c>
      <c r="G23" s="47" t="n">
        <f aca="false">IF(SUMIFS('AP Data (NetSuite)'!H2:H97,'AP Data (NetSuite)'!E2:E97,"*Marketing*",'AP Data (NetSuite)'!L2:L97,5)&gt;0,SUMIFS('AP Data (NetSuite)'!H2:H97,'AP Data (NetSuite)'!E2:E97,"*Marketing*",'AP Data (NetSuite)'!L2:L97,5),IF(5&gt;Assumptions!$B$8,0,0))</f>
        <v>0</v>
      </c>
      <c r="H23" s="47" t="n">
        <f aca="false">IF(SUMIFS('AP Data (NetSuite)'!H2:H97,'AP Data (NetSuite)'!E2:E97,"*Marketing*",'AP Data (NetSuite)'!L2:L97,6)&gt;0,SUMIFS('AP Data (NetSuite)'!H2:H97,'AP Data (NetSuite)'!E2:E97,"*Marketing*",'AP Data (NetSuite)'!L2:L97,6),IF(6&gt;Assumptions!$B$8,0,0))</f>
        <v>0</v>
      </c>
      <c r="I23" s="47" t="n">
        <f aca="false">IF(SUMIFS('AP Data (NetSuite)'!H2:H97,'AP Data (NetSuite)'!E2:E97,"*Marketing*",'AP Data (NetSuite)'!L2:L97,7)&gt;0,SUMIFS('AP Data (NetSuite)'!H2:H97,'AP Data (NetSuite)'!E2:E97,"*Marketing*",'AP Data (NetSuite)'!L2:L97,7),IF(7&gt;Assumptions!$B$8,0,0))</f>
        <v>14200</v>
      </c>
      <c r="J23" s="47" t="n">
        <f aca="false">IF(SUMIFS('AP Data (NetSuite)'!H2:H97,'AP Data (NetSuite)'!E2:E97,"*Marketing*",'AP Data (NetSuite)'!L2:L97,8)&gt;0,SUMIFS('AP Data (NetSuite)'!H2:H97,'AP Data (NetSuite)'!E2:E97,"*Marketing*",'AP Data (NetSuite)'!L2:L97,8),IF(8&gt;Assumptions!$B$8,0,0))</f>
        <v>14200</v>
      </c>
      <c r="K23" s="47" t="n">
        <f aca="false">IF(SUMIFS('AP Data (NetSuite)'!H2:H97,'AP Data (NetSuite)'!E2:E97,"*Marketing*",'AP Data (NetSuite)'!L2:L97,9)&gt;0,SUMIFS('AP Data (NetSuite)'!H2:H97,'AP Data (NetSuite)'!E2:E97,"*Marketing*",'AP Data (NetSuite)'!L2:L97,9),IF(9&gt;Assumptions!$B$8,0,0))</f>
        <v>0</v>
      </c>
      <c r="L23" s="47" t="n">
        <f aca="false">IF(SUMIFS('AP Data (NetSuite)'!H2:H97,'AP Data (NetSuite)'!E2:E97,"*Marketing*",'AP Data (NetSuite)'!L2:L97,10)&gt;0,SUMIFS('AP Data (NetSuite)'!H2:H97,'AP Data (NetSuite)'!E2:E97,"*Marketing*",'AP Data (NetSuite)'!L2:L97,10),IF(10&gt;Assumptions!$B$8,0,0))</f>
        <v>0</v>
      </c>
      <c r="M23" s="47" t="n">
        <f aca="false">IF(SUMIFS('AP Data (NetSuite)'!H2:H97,'AP Data (NetSuite)'!E2:E97,"*Marketing*",'AP Data (NetSuite)'!L2:L97,11)&gt;0,SUMIFS('AP Data (NetSuite)'!H2:H97,'AP Data (NetSuite)'!E2:E97,"*Marketing*",'AP Data (NetSuite)'!L2:L97,11),IF(11&gt;Assumptions!$B$8,0,0))</f>
        <v>14200</v>
      </c>
      <c r="N23" s="47" t="n">
        <f aca="false">IF(SUMIFS('AP Data (NetSuite)'!H2:H97,'AP Data (NetSuite)'!E2:E97,"*Marketing*",'AP Data (NetSuite)'!L2:L97,12)&gt;0,SUMIFS('AP Data (NetSuite)'!H2:H97,'AP Data (NetSuite)'!E2:E97,"*Marketing*",'AP Data (NetSuite)'!L2:L97,12),IF(12&gt;Assumptions!$B$8,0,0))</f>
        <v>14200</v>
      </c>
      <c r="O23" s="47" t="n">
        <f aca="false">IF(SUMIFS('AP Data (NetSuite)'!H2:H97,'AP Data (NetSuite)'!E2:E97,"*Marketing*",'AP Data (NetSuite)'!L2:L97,13)&gt;0,SUMIFS('AP Data (NetSuite)'!H2:H97,'AP Data (NetSuite)'!E2:E97,"*Marketing*",'AP Data (NetSuite)'!L2:L97,13),IF(13&gt;Assumptions!$B$8,0,0))</f>
        <v>0</v>
      </c>
      <c r="P23" s="47" t="n">
        <f aca="false">IF(SUMIFS('AP Data (NetSuite)'!H2:H97,'AP Data (NetSuite)'!E2:E97,"*Marketing*",'AP Data (NetSuite)'!L2:L97,14)&gt;0,SUMIFS('AP Data (NetSuite)'!H2:H97,'AP Data (NetSuite)'!E2:E97,"*Marketing*",'AP Data (NetSuite)'!L2:L97,14),IF(14&gt;Assumptions!$B$8,0,0))</f>
        <v>0</v>
      </c>
      <c r="Q23" s="47" t="n">
        <f aca="false">IF(SUMIFS('AP Data (NetSuite)'!H2:H97,'AP Data (NetSuite)'!E2:E97,"*Marketing*",'AP Data (NetSuite)'!L2:L97,15)&gt;0,SUMIFS('AP Data (NetSuite)'!H2:H97,'AP Data (NetSuite)'!E2:E97,"*Marketing*",'AP Data (NetSuite)'!L2:L97,15),IF(15&gt;Assumptions!$B$8,14200,0))</f>
        <v>14200</v>
      </c>
      <c r="R23" s="47" t="n">
        <f aca="false">IF(SUMIFS('AP Data (NetSuite)'!H2:H97,'AP Data (NetSuite)'!E2:E97,"*Marketing*",'AP Data (NetSuite)'!L2:L97,16)&gt;0,SUMIFS('AP Data (NetSuite)'!H2:H97,'AP Data (NetSuite)'!E2:E97,"*Marketing*",'AP Data (NetSuite)'!L2:L97,16),IF(16&gt;Assumptions!$B$8,0,0))</f>
        <v>0</v>
      </c>
      <c r="S23" s="48" t="n">
        <f aca="false">IF(SUMIFS('AP Data (NetSuite)'!H2:H97,'AP Data (NetSuite)'!E2:E97,"*Marketing*",'AP Data (NetSuite)'!L2:L97,17)&gt;0,SUMIFS('AP Data (NetSuite)'!H2:H97,'AP Data (NetSuite)'!E2:E97,"*Marketing*",'AP Data (NetSuite)'!L2:L97,17),IF(17&gt;Assumptions!$B$8,0,0))</f>
        <v>0</v>
      </c>
      <c r="T23" s="49" t="n">
        <f aca="false">IF(SUMIFS('AP Data (NetSuite)'!H2:H97,'AP Data (NetSuite)'!E2:E97,"*Marketing*",'AP Data (NetSuite)'!L2:L97,18)&gt;0,SUMIFS('AP Data (NetSuite)'!H2:H97,'AP Data (NetSuite)'!E2:E97,"*Marketing*",'AP Data (NetSuite)'!L2:L97,18),IF(18&gt;Assumptions!$B$8,0,0))</f>
        <v>0</v>
      </c>
      <c r="U23" s="49" t="n">
        <f aca="false">IF(SUMIFS('AP Data (NetSuite)'!H2:H97,'AP Data (NetSuite)'!E2:E97,"*Marketing*",'AP Data (NetSuite)'!L2:L97,19)&gt;0,SUMIFS('AP Data (NetSuite)'!H2:H97,'AP Data (NetSuite)'!E2:E97,"*Marketing*",'AP Data (NetSuite)'!L2:L97,19),IF(19&gt;Assumptions!$B$8,14200,0))</f>
        <v>14200</v>
      </c>
      <c r="V23" s="49" t="n">
        <f aca="false">IF(SUMIFS('AP Data (NetSuite)'!H2:H97,'AP Data (NetSuite)'!E2:E97,"*Marketing*",'AP Data (NetSuite)'!L2:L97,20)&gt;0,SUMIFS('AP Data (NetSuite)'!H2:H97,'AP Data (NetSuite)'!E2:E97,"*Marketing*",'AP Data (NetSuite)'!L2:L97,20),IF(20&gt;Assumptions!$B$8,0,0))</f>
        <v>0</v>
      </c>
      <c r="W23" s="49" t="n">
        <f aca="false">IF(SUMIFS('AP Data (NetSuite)'!H2:H97,'AP Data (NetSuite)'!E2:E97,"*Marketing*",'AP Data (NetSuite)'!L2:L97,21)&gt;0,SUMIFS('AP Data (NetSuite)'!H2:H97,'AP Data (NetSuite)'!E2:E97,"*Marketing*",'AP Data (NetSuite)'!L2:L97,21),IF(21&gt;Assumptions!$B$8,0,0))</f>
        <v>0</v>
      </c>
      <c r="X23" s="49" t="n">
        <f aca="false">IF(SUMIFS('AP Data (NetSuite)'!H2:H97,'AP Data (NetSuite)'!E2:E97,"*Marketing*",'AP Data (NetSuite)'!L2:L97,22)&gt;0,SUMIFS('AP Data (NetSuite)'!H2:H97,'AP Data (NetSuite)'!E2:E97,"*Marketing*",'AP Data (NetSuite)'!L2:L97,22),IF(22&gt;Assumptions!$B$8,0,0))</f>
        <v>0</v>
      </c>
      <c r="Y23" s="49" t="n">
        <f aca="false">IF(SUMIFS('AP Data (NetSuite)'!H2:H97,'AP Data (NetSuite)'!E2:E97,"*Marketing*",'AP Data (NetSuite)'!L2:L97,23)&gt;0,SUMIFS('AP Data (NetSuite)'!H2:H97,'AP Data (NetSuite)'!E2:E97,"*Marketing*",'AP Data (NetSuite)'!L2:L97,23),IF(23&gt;Assumptions!$B$8,14200,0))</f>
        <v>14200</v>
      </c>
      <c r="Z23" s="49" t="n">
        <f aca="false">IF(SUMIFS('AP Data (NetSuite)'!H2:H97,'AP Data (NetSuite)'!E2:E97,"*Marketing*",'AP Data (NetSuite)'!L2:L97,24)&gt;0,SUMIFS('AP Data (NetSuite)'!H2:H97,'AP Data (NetSuite)'!E2:E97,"*Marketing*",'AP Data (NetSuite)'!L2:L97,24),IF(24&gt;Assumptions!$B$8,0,0))</f>
        <v>0</v>
      </c>
      <c r="AA23" s="49" t="n">
        <f aca="false">IF(SUMIFS('AP Data (NetSuite)'!H2:H97,'AP Data (NetSuite)'!E2:E97,"*Marketing*",'AP Data (NetSuite)'!L2:L97,25)&gt;0,SUMIFS('AP Data (NetSuite)'!H2:H97,'AP Data (NetSuite)'!E2:E97,"*Marketing*",'AP Data (NetSuite)'!L2:L97,25),IF(25&gt;Assumptions!$B$8,0,0))</f>
        <v>0</v>
      </c>
      <c r="AB23" s="49" t="n">
        <f aca="false">IF(SUMIFS('AP Data (NetSuite)'!H2:H97,'AP Data (NetSuite)'!E2:E97,"*Marketing*",'AP Data (NetSuite)'!L2:L97,26)&gt;0,SUMIFS('AP Data (NetSuite)'!H2:H97,'AP Data (NetSuite)'!E2:E97,"*Marketing*",'AP Data (NetSuite)'!L2:L97,26),IF(26&gt;Assumptions!$B$8,0,0))</f>
        <v>0</v>
      </c>
    </row>
    <row r="24" customFormat="false" ht="15.75" hidden="false" customHeight="true" outlineLevel="0" collapsed="false">
      <c r="A24" s="45" t="s">
        <v>389</v>
      </c>
      <c r="B24" s="46" t="n">
        <f aca="false">SUM(C24:AB24)</f>
        <v>483600</v>
      </c>
      <c r="C24" s="47" t="n">
        <f aca="false">IF(SUMIFS('AP Data (NetSuite)'!H2:H97,'AP Data (NetSuite)'!E2:E97,"*Logistics*",'AP Data (NetSuite)'!L2:L97,1)&gt;0,SUMIFS('AP Data (NetSuite)'!H2:H97,'AP Data (NetSuite)'!E2:E97,"*Logistics*",'AP Data (NetSuite)'!L2:L97,1),IF(1&gt;Assumptions!$B$8,0,0))</f>
        <v>15200</v>
      </c>
      <c r="D24" s="47" t="n">
        <f aca="false">IF(SUMIFS('AP Data (NetSuite)'!H2:H97,'AP Data (NetSuite)'!E2:E97,"*Logistics*",'AP Data (NetSuite)'!L2:L97,2)&gt;0,SUMIFS('AP Data (NetSuite)'!H2:H97,'AP Data (NetSuite)'!E2:E97,"*Logistics*",'AP Data (NetSuite)'!L2:L97,2),IF(2&gt;Assumptions!$B$8,0,0))</f>
        <v>16800</v>
      </c>
      <c r="E24" s="47" t="n">
        <f aca="false">IF(SUMIFS('AP Data (NetSuite)'!H2:H97,'AP Data (NetSuite)'!E2:E97,"*Logistics*",'AP Data (NetSuite)'!L2:L97,3)&gt;0,SUMIFS('AP Data (NetSuite)'!H2:H97,'AP Data (NetSuite)'!E2:E97,"*Logistics*",'AP Data (NetSuite)'!L2:L97,3),IF(3&gt;Assumptions!$B$8,0,0))</f>
        <v>17900</v>
      </c>
      <c r="F24" s="47" t="n">
        <f aca="false">IF(SUMIFS('AP Data (NetSuite)'!H2:H97,'AP Data (NetSuite)'!E2:E97,"*Logistics*",'AP Data (NetSuite)'!L2:L97,4)&gt;0,SUMIFS('AP Data (NetSuite)'!H2:H97,'AP Data (NetSuite)'!E2:E97,"*Logistics*",'AP Data (NetSuite)'!L2:L97,4),IF(4&gt;Assumptions!$B$8,0,0))</f>
        <v>15500</v>
      </c>
      <c r="G24" s="47" t="n">
        <f aca="false">IF(SUMIFS('AP Data (NetSuite)'!H2:H97,'AP Data (NetSuite)'!E2:E97,"*Logistics*",'AP Data (NetSuite)'!L2:L97,5)&gt;0,SUMIFS('AP Data (NetSuite)'!H2:H97,'AP Data (NetSuite)'!E2:E97,"*Logistics*",'AP Data (NetSuite)'!L2:L97,5),IF(5&gt;Assumptions!$B$8,0,0))</f>
        <v>18400</v>
      </c>
      <c r="H24" s="47" t="n">
        <f aca="false">IF(SUMIFS('AP Data (NetSuite)'!H2:H97,'AP Data (NetSuite)'!E2:E97,"*Logistics*",'AP Data (NetSuite)'!L2:L97,6)&gt;0,SUMIFS('AP Data (NetSuite)'!H2:H97,'AP Data (NetSuite)'!E2:E97,"*Logistics*",'AP Data (NetSuite)'!L2:L97,6),IF(6&gt;Assumptions!$B$8,0,0))</f>
        <v>16100</v>
      </c>
      <c r="I24" s="47" t="n">
        <f aca="false">IF(SUMIFS('AP Data (NetSuite)'!H2:H97,'AP Data (NetSuite)'!E2:E97,"*Logistics*",'AP Data (NetSuite)'!L2:L97,7)&gt;0,SUMIFS('AP Data (NetSuite)'!H2:H97,'AP Data (NetSuite)'!E2:E97,"*Logistics*",'AP Data (NetSuite)'!L2:L97,7),IF(7&gt;Assumptions!$B$8,0,0))</f>
        <v>17200</v>
      </c>
      <c r="J24" s="47" t="n">
        <f aca="false">IF(SUMIFS('AP Data (NetSuite)'!H2:H97,'AP Data (NetSuite)'!E2:E97,"*Logistics*",'AP Data (NetSuite)'!L2:L97,8)&gt;0,SUMIFS('AP Data (NetSuite)'!H2:H97,'AP Data (NetSuite)'!E2:E97,"*Logistics*",'AP Data (NetSuite)'!L2:L97,8),IF(8&gt;Assumptions!$B$8,0,0))</f>
        <v>16700</v>
      </c>
      <c r="K24" s="47" t="n">
        <f aca="false">IF(SUMIFS('AP Data (NetSuite)'!H2:H97,'AP Data (NetSuite)'!E2:E97,"*Logistics*",'AP Data (NetSuite)'!L2:L97,9)&gt;0,SUMIFS('AP Data (NetSuite)'!H2:H97,'AP Data (NetSuite)'!E2:E97,"*Logistics*",'AP Data (NetSuite)'!L2:L97,9),IF(9&gt;Assumptions!$B$8,0,0))</f>
        <v>18900</v>
      </c>
      <c r="L24" s="47" t="n">
        <f aca="false">IF(SUMIFS('AP Data (NetSuite)'!H2:H97,'AP Data (NetSuite)'!E2:E97,"*Logistics*",'AP Data (NetSuite)'!L2:L97,10)&gt;0,SUMIFS('AP Data (NetSuite)'!H2:H97,'AP Data (NetSuite)'!E2:E97,"*Logistics*",'AP Data (NetSuite)'!L2:L97,10),IF(10&gt;Assumptions!$B$8,0,0))</f>
        <v>17800</v>
      </c>
      <c r="M24" s="47" t="n">
        <f aca="false">IF(SUMIFS('AP Data (NetSuite)'!H2:H97,'AP Data (NetSuite)'!E2:E97,"*Logistics*",'AP Data (NetSuite)'!L2:L97,11)&gt;0,SUMIFS('AP Data (NetSuite)'!H2:H97,'AP Data (NetSuite)'!E2:E97,"*Logistics*",'AP Data (NetSuite)'!L2:L97,11),IF(11&gt;Assumptions!$B$8,0,0))</f>
        <v>19500</v>
      </c>
      <c r="N24" s="47" t="n">
        <f aca="false">IF(SUMIFS('AP Data (NetSuite)'!H2:H97,'AP Data (NetSuite)'!E2:E97,"*Logistics*",'AP Data (NetSuite)'!L2:L97,12)&gt;0,SUMIFS('AP Data (NetSuite)'!H2:H97,'AP Data (NetSuite)'!E2:E97,"*Logistics*",'AP Data (NetSuite)'!L2:L97,12),IF(12&gt;Assumptions!$B$8,0,0))</f>
        <v>20100</v>
      </c>
      <c r="O24" s="47" t="n">
        <f aca="false">IF(SUMIFS('AP Data (NetSuite)'!H2:H97,'AP Data (NetSuite)'!E2:E97,"*Logistics*",'AP Data (NetSuite)'!L2:L97,13)&gt;0,SUMIFS('AP Data (NetSuite)'!H2:H97,'AP Data (NetSuite)'!E2:E97,"*Logistics*",'AP Data (NetSuite)'!L2:L97,13),IF(13&gt;Assumptions!$B$8,16800,0))</f>
        <v>16800</v>
      </c>
      <c r="P24" s="47" t="n">
        <f aca="false">IF(SUMIFS('AP Data (NetSuite)'!H2:H97,'AP Data (NetSuite)'!E2:E97,"*Logistics*",'AP Data (NetSuite)'!L2:L97,14)&gt;0,SUMIFS('AP Data (NetSuite)'!H2:H97,'AP Data (NetSuite)'!E2:E97,"*Logistics*",'AP Data (NetSuite)'!L2:L97,14),IF(14&gt;Assumptions!$B$8,19200,0))</f>
        <v>19200</v>
      </c>
      <c r="Q24" s="47" t="n">
        <f aca="false">IF(SUMIFS('AP Data (NetSuite)'!H2:H97,'AP Data (NetSuite)'!E2:E97,"*Logistics*",'AP Data (NetSuite)'!L2:L97,15)&gt;0,SUMIFS('AP Data (NetSuite)'!H2:H97,'AP Data (NetSuite)'!E2:E97,"*Logistics*",'AP Data (NetSuite)'!L2:L97,15),IF(15&gt;Assumptions!$B$8,17500,0))</f>
        <v>17500</v>
      </c>
      <c r="R24" s="47" t="n">
        <f aca="false">IF(SUMIFS('AP Data (NetSuite)'!H2:H97,'AP Data (NetSuite)'!E2:E97,"*Logistics*",'AP Data (NetSuite)'!L2:L97,16)&gt;0,SUMIFS('AP Data (NetSuite)'!H2:H97,'AP Data (NetSuite)'!E2:E97,"*Logistics*",'AP Data (NetSuite)'!L2:L97,16),IF(16&gt;Assumptions!$B$8,21300,0))</f>
        <v>21300</v>
      </c>
      <c r="S24" s="48" t="n">
        <f aca="false">IF(SUMIFS('AP Data (NetSuite)'!H2:H97,'AP Data (NetSuite)'!E2:E97,"*Logistics*",'AP Data (NetSuite)'!L2:L97,17)&gt;0,SUMIFS('AP Data (NetSuite)'!H2:H97,'AP Data (NetSuite)'!E2:E97,"*Logistics*",'AP Data (NetSuite)'!L2:L97,17),IF(17&gt;Assumptions!$B$8,18100,0))</f>
        <v>18100</v>
      </c>
      <c r="T24" s="49" t="n">
        <f aca="false">IF(SUMIFS('AP Data (NetSuite)'!H2:H97,'AP Data (NetSuite)'!E2:E97,"*Logistics*",'AP Data (NetSuite)'!L2:L97,18)&gt;0,SUMIFS('AP Data (NetSuite)'!H2:H97,'AP Data (NetSuite)'!E2:E97,"*Logistics*",'AP Data (NetSuite)'!L2:L97,18),IF(18&gt;Assumptions!$B$8,20400,0))</f>
        <v>20400</v>
      </c>
      <c r="U24" s="49" t="n">
        <f aca="false">IF(SUMIFS('AP Data (NetSuite)'!H2:H97,'AP Data (NetSuite)'!E2:E97,"*Logistics*",'AP Data (NetSuite)'!L2:L97,19)&gt;0,SUMIFS('AP Data (NetSuite)'!H2:H97,'AP Data (NetSuite)'!E2:E97,"*Logistics*",'AP Data (NetSuite)'!L2:L97,19),IF(19&gt;Assumptions!$B$8,17800,0))</f>
        <v>17800</v>
      </c>
      <c r="V24" s="49" t="n">
        <f aca="false">IF(SUMIFS('AP Data (NetSuite)'!H2:H97,'AP Data (NetSuite)'!E2:E97,"*Logistics*",'AP Data (NetSuite)'!L2:L97,20)&gt;0,SUMIFS('AP Data (NetSuite)'!H2:H97,'AP Data (NetSuite)'!E2:E97,"*Logistics*",'AP Data (NetSuite)'!L2:L97,20),IF(20&gt;Assumptions!$B$8,22600,0))</f>
        <v>22600</v>
      </c>
      <c r="W24" s="49" t="n">
        <f aca="false">IF(SUMIFS('AP Data (NetSuite)'!H2:H97,'AP Data (NetSuite)'!E2:E97,"*Logistics*",'AP Data (NetSuite)'!L2:L97,21)&gt;0,SUMIFS('AP Data (NetSuite)'!H2:H97,'AP Data (NetSuite)'!E2:E97,"*Logistics*",'AP Data (NetSuite)'!L2:L97,21),IF(21&gt;Assumptions!$B$8,19300,0))</f>
        <v>19300</v>
      </c>
      <c r="X24" s="49" t="n">
        <f aca="false">IF(SUMIFS('AP Data (NetSuite)'!H2:H97,'AP Data (NetSuite)'!E2:E97,"*Logistics*",'AP Data (NetSuite)'!L2:L97,22)&gt;0,SUMIFS('AP Data (NetSuite)'!H2:H97,'AP Data (NetSuite)'!E2:E97,"*Logistics*",'AP Data (NetSuite)'!L2:L97,22),IF(22&gt;Assumptions!$B$8,16500,0))</f>
        <v>16500</v>
      </c>
      <c r="Y24" s="49" t="n">
        <f aca="false">IF(SUMIFS('AP Data (NetSuite)'!H2:H97,'AP Data (NetSuite)'!E2:E97,"*Logistics*",'AP Data (NetSuite)'!L2:L97,23)&gt;0,SUMIFS('AP Data (NetSuite)'!H2:H97,'AP Data (NetSuite)'!E2:E97,"*Logistics*",'AP Data (NetSuite)'!L2:L97,23),IF(23&gt;Assumptions!$B$8,21800,0))</f>
        <v>21800</v>
      </c>
      <c r="Z24" s="49" t="n">
        <f aca="false">IF(SUMIFS('AP Data (NetSuite)'!H2:H97,'AP Data (NetSuite)'!E2:E97,"*Logistics*",'AP Data (NetSuite)'!L2:L97,24)&gt;0,SUMIFS('AP Data (NetSuite)'!H2:H97,'AP Data (NetSuite)'!E2:E97,"*Logistics*",'AP Data (NetSuite)'!L2:L97,24),IF(24&gt;Assumptions!$B$8,18700,0))</f>
        <v>18700</v>
      </c>
      <c r="AA24" s="49" t="n">
        <f aca="false">IF(SUMIFS('AP Data (NetSuite)'!H2:H97,'AP Data (NetSuite)'!E2:E97,"*Logistics*",'AP Data (NetSuite)'!L2:L97,25)&gt;0,SUMIFS('AP Data (NetSuite)'!H2:H97,'AP Data (NetSuite)'!E2:E97,"*Logistics*",'AP Data (NetSuite)'!L2:L97,25),IF(25&gt;Assumptions!$B$8,20100,0))</f>
        <v>20100</v>
      </c>
      <c r="AB24" s="49" t="n">
        <f aca="false">IF(SUMIFS('AP Data (NetSuite)'!H2:H97,'AP Data (NetSuite)'!E2:E97,"*Logistics*",'AP Data (NetSuite)'!L2:L97,26)&gt;0,SUMIFS('AP Data (NetSuite)'!H2:H97,'AP Data (NetSuite)'!E2:E97,"*Logistics*",'AP Data (NetSuite)'!L2:L97,26),IF(26&gt;Assumptions!$B$8,23400,0))</f>
        <v>23400</v>
      </c>
    </row>
    <row r="25" customFormat="false" ht="15.75" hidden="false" customHeight="true" outlineLevel="0" collapsed="false">
      <c r="A25" s="45" t="s">
        <v>390</v>
      </c>
      <c r="B25" s="46" t="n">
        <f aca="false">SUM(C25:AB25)</f>
        <v>49600</v>
      </c>
      <c r="C25" s="47" t="n">
        <f aca="false">IF(SUMIFS('AP Data (NetSuite)'!H2:H97,'AP Data (NetSuite)'!E2:E97,"*Utilities*",'AP Data (NetSuite)'!L2:L97,1)&gt;0,SUMIFS('AP Data (NetSuite)'!H2:H97,'AP Data (NetSuite)'!E2:E97,"*Utilities*",'AP Data (NetSuite)'!L2:L97,1),IF(1&gt;Assumptions!$B$8,0,0))</f>
        <v>0</v>
      </c>
      <c r="D25" s="47" t="n">
        <f aca="false">IF(SUMIFS('AP Data (NetSuite)'!H2:H97,'AP Data (NetSuite)'!E2:E97,"*Utilities*",'AP Data (NetSuite)'!L2:L97,2)&gt;0,SUMIFS('AP Data (NetSuite)'!H2:H97,'AP Data (NetSuite)'!E2:E97,"*Utilities*",'AP Data (NetSuite)'!L2:L97,2),IF(2&gt;Assumptions!$B$8,0,0))</f>
        <v>6200</v>
      </c>
      <c r="E25" s="47" t="n">
        <f aca="false">IF(SUMIFS('AP Data (NetSuite)'!H2:H97,'AP Data (NetSuite)'!E2:E97,"*Utilities*",'AP Data (NetSuite)'!L2:L97,3)&gt;0,SUMIFS('AP Data (NetSuite)'!H2:H97,'AP Data (NetSuite)'!E2:E97,"*Utilities*",'AP Data (NetSuite)'!L2:L97,3),IF(3&gt;Assumptions!$B$8,0,0))</f>
        <v>0</v>
      </c>
      <c r="F25" s="47" t="n">
        <f aca="false">IF(SUMIFS('AP Data (NetSuite)'!H2:H97,'AP Data (NetSuite)'!E2:E97,"*Utilities*",'AP Data (NetSuite)'!L2:L97,4)&gt;0,SUMIFS('AP Data (NetSuite)'!H2:H97,'AP Data (NetSuite)'!E2:E97,"*Utilities*",'AP Data (NetSuite)'!L2:L97,4),IF(4&gt;Assumptions!$B$8,0,0))</f>
        <v>0</v>
      </c>
      <c r="G25" s="47" t="n">
        <f aca="false">IF(SUMIFS('AP Data (NetSuite)'!H2:H97,'AP Data (NetSuite)'!E2:E97,"*Utilities*",'AP Data (NetSuite)'!L2:L97,5)&gt;0,SUMIFS('AP Data (NetSuite)'!H2:H97,'AP Data (NetSuite)'!E2:E97,"*Utilities*",'AP Data (NetSuite)'!L2:L97,5),IF(5&gt;Assumptions!$B$8,0,0))</f>
        <v>0</v>
      </c>
      <c r="H25" s="47" t="n">
        <f aca="false">IF(SUMIFS('AP Data (NetSuite)'!H2:H97,'AP Data (NetSuite)'!E2:E97,"*Utilities*",'AP Data (NetSuite)'!L2:L97,6)&gt;0,SUMIFS('AP Data (NetSuite)'!H2:H97,'AP Data (NetSuite)'!E2:E97,"*Utilities*",'AP Data (NetSuite)'!L2:L97,6),IF(6&gt;Assumptions!$B$8,0,0))</f>
        <v>6200</v>
      </c>
      <c r="I25" s="47" t="n">
        <f aca="false">IF(SUMIFS('AP Data (NetSuite)'!H2:H97,'AP Data (NetSuite)'!E2:E97,"*Utilities*",'AP Data (NetSuite)'!L2:L97,7)&gt;0,SUMIFS('AP Data (NetSuite)'!H2:H97,'AP Data (NetSuite)'!E2:E97,"*Utilities*",'AP Data (NetSuite)'!L2:L97,7),IF(7&gt;Assumptions!$B$8,0,0))</f>
        <v>0</v>
      </c>
      <c r="J25" s="47" t="n">
        <f aca="false">IF(SUMIFS('AP Data (NetSuite)'!H2:H97,'AP Data (NetSuite)'!E2:E97,"*Utilities*",'AP Data (NetSuite)'!L2:L97,8)&gt;0,SUMIFS('AP Data (NetSuite)'!H2:H97,'AP Data (NetSuite)'!E2:E97,"*Utilities*",'AP Data (NetSuite)'!L2:L97,8),IF(8&gt;Assumptions!$B$8,0,0))</f>
        <v>0</v>
      </c>
      <c r="K25" s="47" t="n">
        <f aca="false">IF(SUMIFS('AP Data (NetSuite)'!H2:H97,'AP Data (NetSuite)'!E2:E97,"*Utilities*",'AP Data (NetSuite)'!L2:L97,9)&gt;0,SUMIFS('AP Data (NetSuite)'!H2:H97,'AP Data (NetSuite)'!E2:E97,"*Utilities*",'AP Data (NetSuite)'!L2:L97,9),IF(9&gt;Assumptions!$B$8,0,0))</f>
        <v>0</v>
      </c>
      <c r="L25" s="47" t="n">
        <f aca="false">IF(SUMIFS('AP Data (NetSuite)'!H2:H97,'AP Data (NetSuite)'!E2:E97,"*Utilities*",'AP Data (NetSuite)'!L2:L97,10)&gt;0,SUMIFS('AP Data (NetSuite)'!H2:H97,'AP Data (NetSuite)'!E2:E97,"*Utilities*",'AP Data (NetSuite)'!L2:L97,10),IF(10&gt;Assumptions!$B$8,0,0))</f>
        <v>6200</v>
      </c>
      <c r="M25" s="47" t="n">
        <f aca="false">IF(SUMIFS('AP Data (NetSuite)'!H2:H97,'AP Data (NetSuite)'!E2:E97,"*Utilities*",'AP Data (NetSuite)'!L2:L97,11)&gt;0,SUMIFS('AP Data (NetSuite)'!H2:H97,'AP Data (NetSuite)'!E2:E97,"*Utilities*",'AP Data (NetSuite)'!L2:L97,11),IF(11&gt;Assumptions!$B$8,0,0))</f>
        <v>0</v>
      </c>
      <c r="N25" s="47" t="n">
        <f aca="false">IF(SUMIFS('AP Data (NetSuite)'!H2:H97,'AP Data (NetSuite)'!E2:E97,"*Utilities*",'AP Data (NetSuite)'!L2:L97,12)&gt;0,SUMIFS('AP Data (NetSuite)'!H2:H97,'AP Data (NetSuite)'!E2:E97,"*Utilities*",'AP Data (NetSuite)'!L2:L97,12),IF(12&gt;Assumptions!$B$8,0,0))</f>
        <v>6200</v>
      </c>
      <c r="O25" s="47" t="n">
        <f aca="false">IF(SUMIFS('AP Data (NetSuite)'!H2:H97,'AP Data (NetSuite)'!E2:E97,"*Utilities*",'AP Data (NetSuite)'!L2:L97,13)&gt;0,SUMIFS('AP Data (NetSuite)'!H2:H97,'AP Data (NetSuite)'!E2:E97,"*Utilities*",'AP Data (NetSuite)'!L2:L97,13),IF(13&gt;Assumptions!$B$8,0,0))</f>
        <v>0</v>
      </c>
      <c r="P25" s="47" t="n">
        <f aca="false">IF(SUMIFS('AP Data (NetSuite)'!H2:H97,'AP Data (NetSuite)'!E2:E97,"*Utilities*",'AP Data (NetSuite)'!L2:L97,14)&gt;0,SUMIFS('AP Data (NetSuite)'!H2:H97,'AP Data (NetSuite)'!E2:E97,"*Utilities*",'AP Data (NetSuite)'!L2:L97,14),IF(14&gt;Assumptions!$B$8,6200,0))</f>
        <v>6200</v>
      </c>
      <c r="Q25" s="47" t="n">
        <f aca="false">IF(SUMIFS('AP Data (NetSuite)'!H2:H97,'AP Data (NetSuite)'!E2:E97,"*Utilities*",'AP Data (NetSuite)'!L2:L97,15)&gt;0,SUMIFS('AP Data (NetSuite)'!H2:H97,'AP Data (NetSuite)'!E2:E97,"*Utilities*",'AP Data (NetSuite)'!L2:L97,15),IF(15&gt;Assumptions!$B$8,0,0))</f>
        <v>0</v>
      </c>
      <c r="R25" s="47" t="n">
        <f aca="false">IF(SUMIFS('AP Data (NetSuite)'!H2:H97,'AP Data (NetSuite)'!E2:E97,"*Utilities*",'AP Data (NetSuite)'!L2:L97,16)&gt;0,SUMIFS('AP Data (NetSuite)'!H2:H97,'AP Data (NetSuite)'!E2:E97,"*Utilities*",'AP Data (NetSuite)'!L2:L97,16),IF(16&gt;Assumptions!$B$8,0,0))</f>
        <v>0</v>
      </c>
      <c r="S25" s="48" t="n">
        <f aca="false">IF(SUMIFS('AP Data (NetSuite)'!H2:H97,'AP Data (NetSuite)'!E2:E97,"*Utilities*",'AP Data (NetSuite)'!L2:L97,17)&gt;0,SUMIFS('AP Data (NetSuite)'!H2:H97,'AP Data (NetSuite)'!E2:E97,"*Utilities*",'AP Data (NetSuite)'!L2:L97,17),IF(17&gt;Assumptions!$B$8,0,0))</f>
        <v>0</v>
      </c>
      <c r="T25" s="49" t="n">
        <f aca="false">IF(SUMIFS('AP Data (NetSuite)'!H2:H97,'AP Data (NetSuite)'!E2:E97,"*Utilities*",'AP Data (NetSuite)'!L2:L97,18)&gt;0,SUMIFS('AP Data (NetSuite)'!H2:H97,'AP Data (NetSuite)'!E2:E97,"*Utilities*",'AP Data (NetSuite)'!L2:L97,18),IF(18&gt;Assumptions!$B$8,6200,0))</f>
        <v>6200</v>
      </c>
      <c r="U25" s="49" t="n">
        <f aca="false">IF(SUMIFS('AP Data (NetSuite)'!H2:H97,'AP Data (NetSuite)'!E2:E97,"*Utilities*",'AP Data (NetSuite)'!L2:L97,19)&gt;0,SUMIFS('AP Data (NetSuite)'!H2:H97,'AP Data (NetSuite)'!E2:E97,"*Utilities*",'AP Data (NetSuite)'!L2:L97,19),IF(19&gt;Assumptions!$B$8,0,0))</f>
        <v>0</v>
      </c>
      <c r="V25" s="49" t="n">
        <f aca="false">IF(SUMIFS('AP Data (NetSuite)'!H2:H97,'AP Data (NetSuite)'!E2:E97,"*Utilities*",'AP Data (NetSuite)'!L2:L97,20)&gt;0,SUMIFS('AP Data (NetSuite)'!H2:H97,'AP Data (NetSuite)'!E2:E97,"*Utilities*",'AP Data (NetSuite)'!L2:L97,20),IF(20&gt;Assumptions!$B$8,0,0))</f>
        <v>0</v>
      </c>
      <c r="W25" s="49" t="n">
        <f aca="false">IF(SUMIFS('AP Data (NetSuite)'!H2:H97,'AP Data (NetSuite)'!E2:E97,"*Utilities*",'AP Data (NetSuite)'!L2:L97,21)&gt;0,SUMIFS('AP Data (NetSuite)'!H2:H97,'AP Data (NetSuite)'!E2:E97,"*Utilities*",'AP Data (NetSuite)'!L2:L97,21),IF(21&gt;Assumptions!$B$8,0,0))</f>
        <v>0</v>
      </c>
      <c r="X25" s="49" t="n">
        <f aca="false">IF(SUMIFS('AP Data (NetSuite)'!H2:H97,'AP Data (NetSuite)'!E2:E97,"*Utilities*",'AP Data (NetSuite)'!L2:L97,22)&gt;0,SUMIFS('AP Data (NetSuite)'!H2:H97,'AP Data (NetSuite)'!E2:E97,"*Utilities*",'AP Data (NetSuite)'!L2:L97,22),IF(22&gt;Assumptions!$B$8,6200,0))</f>
        <v>6200</v>
      </c>
      <c r="Y25" s="49" t="n">
        <f aca="false">IF(SUMIFS('AP Data (NetSuite)'!H2:H97,'AP Data (NetSuite)'!E2:E97,"*Utilities*",'AP Data (NetSuite)'!L2:L97,23)&gt;0,SUMIFS('AP Data (NetSuite)'!H2:H97,'AP Data (NetSuite)'!E2:E97,"*Utilities*",'AP Data (NetSuite)'!L2:L97,23),IF(23&gt;Assumptions!$B$8,0,0))</f>
        <v>0</v>
      </c>
      <c r="Z25" s="49" t="n">
        <f aca="false">IF(SUMIFS('AP Data (NetSuite)'!H2:H97,'AP Data (NetSuite)'!E2:E97,"*Utilities*",'AP Data (NetSuite)'!L2:L97,24)&gt;0,SUMIFS('AP Data (NetSuite)'!H2:H97,'AP Data (NetSuite)'!E2:E97,"*Utilities*",'AP Data (NetSuite)'!L2:L97,24),IF(24&gt;Assumptions!$B$8,0,0))</f>
        <v>0</v>
      </c>
      <c r="AA25" s="49" t="n">
        <f aca="false">IF(SUMIFS('AP Data (NetSuite)'!H2:H97,'AP Data (NetSuite)'!E2:E97,"*Utilities*",'AP Data (NetSuite)'!L2:L97,25)&gt;0,SUMIFS('AP Data (NetSuite)'!H2:H97,'AP Data (NetSuite)'!E2:E97,"*Utilities*",'AP Data (NetSuite)'!L2:L97,25),IF(25&gt;Assumptions!$B$8,0,0))</f>
        <v>0</v>
      </c>
      <c r="AB25" s="49" t="n">
        <f aca="false">IF(SUMIFS('AP Data (NetSuite)'!H2:H97,'AP Data (NetSuite)'!E2:E97,"*Utilities*",'AP Data (NetSuite)'!L2:L97,26)&gt;0,SUMIFS('AP Data (NetSuite)'!H2:H97,'AP Data (NetSuite)'!E2:E97,"*Utilities*",'AP Data (NetSuite)'!L2:L97,26),IF(26&gt;Assumptions!$B$8,6200,0))</f>
        <v>6200</v>
      </c>
    </row>
    <row r="26" customFormat="false" ht="15.75" hidden="false" customHeight="true" outlineLevel="0" collapsed="false">
      <c r="A26" s="45" t="s">
        <v>391</v>
      </c>
      <c r="B26" s="46" t="n">
        <f aca="false">SUM(C26:AB26)</f>
        <v>16300</v>
      </c>
      <c r="C26" s="47" t="n">
        <f aca="false">IF(SUMIFS('AP Data (NetSuite)'!H2:H97,'AP Data (NetSuite)'!E2:E97,"*Other*",'AP Data (NetSuite)'!L2:L97,1)&gt;0,SUMIFS('AP Data (NetSuite)'!H2:H97,'AP Data (NetSuite)'!E2:E97,"*Other*",'AP Data (NetSuite)'!L2:L97,1),IF(1&gt;Assumptions!$B$8,0,0))</f>
        <v>2800</v>
      </c>
      <c r="D26" s="47" t="n">
        <f aca="false">IF(SUMIFS('AP Data (NetSuite)'!H2:H97,'AP Data (NetSuite)'!E2:E97,"*Other*",'AP Data (NetSuite)'!L2:L97,2)&gt;0,SUMIFS('AP Data (NetSuite)'!H2:H97,'AP Data (NetSuite)'!E2:E97,"*Other*",'AP Data (NetSuite)'!L2:L97,2),IF(2&gt;Assumptions!$B$8,0,0))</f>
        <v>0</v>
      </c>
      <c r="E26" s="47" t="n">
        <f aca="false">IF(SUMIFS('AP Data (NetSuite)'!H2:H97,'AP Data (NetSuite)'!E2:E97,"*Other*",'AP Data (NetSuite)'!L2:L97,3)&gt;0,SUMIFS('AP Data (NetSuite)'!H2:H97,'AP Data (NetSuite)'!E2:E97,"*Other*",'AP Data (NetSuite)'!L2:L97,3),IF(3&gt;Assumptions!$B$8,0,0))</f>
        <v>0</v>
      </c>
      <c r="F26" s="47" t="n">
        <f aca="false">IF(SUMIFS('AP Data (NetSuite)'!H2:H97,'AP Data (NetSuite)'!E2:E97,"*Other*",'AP Data (NetSuite)'!L2:L97,4)&gt;0,SUMIFS('AP Data (NetSuite)'!H2:H97,'AP Data (NetSuite)'!E2:E97,"*Other*",'AP Data (NetSuite)'!L2:L97,4),IF(4&gt;Assumptions!$B$8,0,0))</f>
        <v>3100</v>
      </c>
      <c r="G26" s="47" t="n">
        <f aca="false">IF(SUMIFS('AP Data (NetSuite)'!H2:H97,'AP Data (NetSuite)'!E2:E97,"*Other*",'AP Data (NetSuite)'!L2:L97,5)&gt;0,SUMIFS('AP Data (NetSuite)'!H2:H97,'AP Data (NetSuite)'!E2:E97,"*Other*",'AP Data (NetSuite)'!L2:L97,5),IF(5&gt;Assumptions!$B$8,0,0))</f>
        <v>0</v>
      </c>
      <c r="H26" s="47" t="n">
        <f aca="false">IF(SUMIFS('AP Data (NetSuite)'!H2:H97,'AP Data (NetSuite)'!E2:E97,"*Other*",'AP Data (NetSuite)'!L2:L97,6)&gt;0,SUMIFS('AP Data (NetSuite)'!H2:H97,'AP Data (NetSuite)'!E2:E97,"*Other*",'AP Data (NetSuite)'!L2:L97,6),IF(6&gt;Assumptions!$B$8,0,0))</f>
        <v>0</v>
      </c>
      <c r="I26" s="47" t="n">
        <f aca="false">IF(SUMIFS('AP Data (NetSuite)'!H2:H97,'AP Data (NetSuite)'!E2:E97,"*Other*",'AP Data (NetSuite)'!L2:L97,7)&gt;0,SUMIFS('AP Data (NetSuite)'!H2:H97,'AP Data (NetSuite)'!E2:E97,"*Other*",'AP Data (NetSuite)'!L2:L97,7),IF(7&gt;Assumptions!$B$8,0,0))</f>
        <v>0</v>
      </c>
      <c r="J26" s="47" t="n">
        <f aca="false">IF(SUMIFS('AP Data (NetSuite)'!H2:H97,'AP Data (NetSuite)'!E2:E97,"*Other*",'AP Data (NetSuite)'!L2:L97,8)&gt;0,SUMIFS('AP Data (NetSuite)'!H2:H97,'AP Data (NetSuite)'!E2:E97,"*Other*",'AP Data (NetSuite)'!L2:L97,8),IF(8&gt;Assumptions!$B$8,0,0))</f>
        <v>0</v>
      </c>
      <c r="K26" s="47" t="n">
        <f aca="false">IF(SUMIFS('AP Data (NetSuite)'!H2:H97,'AP Data (NetSuite)'!E2:E97,"*Other*",'AP Data (NetSuite)'!L2:L97,9)&gt;0,SUMIFS('AP Data (NetSuite)'!H2:H97,'AP Data (NetSuite)'!E2:E97,"*Other*",'AP Data (NetSuite)'!L2:L97,9),IF(9&gt;Assumptions!$B$8,0,0))</f>
        <v>0</v>
      </c>
      <c r="L26" s="47" t="n">
        <f aca="false">IF(SUMIFS('AP Data (NetSuite)'!H2:H97,'AP Data (NetSuite)'!E2:E97,"*Other*",'AP Data (NetSuite)'!L2:L97,10)&gt;0,SUMIFS('AP Data (NetSuite)'!H2:H97,'AP Data (NetSuite)'!E2:E97,"*Other*",'AP Data (NetSuite)'!L2:L97,10),IF(10&gt;Assumptions!$B$8,0,0))</f>
        <v>0</v>
      </c>
      <c r="M26" s="47" t="n">
        <f aca="false">IF(SUMIFS('AP Data (NetSuite)'!H2:H97,'AP Data (NetSuite)'!E2:E97,"*Other*",'AP Data (NetSuite)'!L2:L97,11)&gt;0,SUMIFS('AP Data (NetSuite)'!H2:H97,'AP Data (NetSuite)'!E2:E97,"*Other*",'AP Data (NetSuite)'!L2:L97,11),IF(11&gt;Assumptions!$B$8,0,0))</f>
        <v>0</v>
      </c>
      <c r="N26" s="47" t="n">
        <f aca="false">IF(SUMIFS('AP Data (NetSuite)'!H2:H97,'AP Data (NetSuite)'!E2:E97,"*Other*",'AP Data (NetSuite)'!L2:L97,12)&gt;0,SUMIFS('AP Data (NetSuite)'!H2:H97,'AP Data (NetSuite)'!E2:E97,"*Other*",'AP Data (NetSuite)'!L2:L97,12),IF(12&gt;Assumptions!$B$8,0,0))</f>
        <v>0</v>
      </c>
      <c r="O26" s="47" t="n">
        <f aca="false">IF(SUMIFS('AP Data (NetSuite)'!H2:H97,'AP Data (NetSuite)'!E2:E97,"*Other*",'AP Data (NetSuite)'!L2:L97,13)&gt;0,SUMIFS('AP Data (NetSuite)'!H2:H97,'AP Data (NetSuite)'!E2:E97,"*Other*",'AP Data (NetSuite)'!L2:L97,13),IF(13&gt;Assumptions!$B$8,0,0))</f>
        <v>2800</v>
      </c>
      <c r="P26" s="47" t="n">
        <f aca="false">IF(SUMIFS('AP Data (NetSuite)'!H2:H97,'AP Data (NetSuite)'!E2:E97,"*Other*",'AP Data (NetSuite)'!L2:L97,14)&gt;0,SUMIFS('AP Data (NetSuite)'!H2:H97,'AP Data (NetSuite)'!E2:E97,"*Other*",'AP Data (NetSuite)'!L2:L97,14),IF(14&gt;Assumptions!$B$8,0,0))</f>
        <v>0</v>
      </c>
      <c r="Q26" s="47" t="n">
        <f aca="false">IF(SUMIFS('AP Data (NetSuite)'!H2:H97,'AP Data (NetSuite)'!E2:E97,"*Other*",'AP Data (NetSuite)'!L2:L97,15)&gt;0,SUMIFS('AP Data (NetSuite)'!H2:H97,'AP Data (NetSuite)'!E2:E97,"*Other*",'AP Data (NetSuite)'!L2:L97,15),IF(15&gt;Assumptions!$B$8,2800,0))</f>
        <v>0</v>
      </c>
      <c r="R26" s="47" t="n">
        <f aca="false">IF(SUMIFS('AP Data (NetSuite)'!H2:H97,'AP Data (NetSuite)'!E2:E97,"*Other*",'AP Data (NetSuite)'!L2:L97,16)&gt;0,SUMIFS('AP Data (NetSuite)'!H2:H97,'AP Data (NetSuite)'!E2:E97,"*Other*",'AP Data (NetSuite)'!L2:L97,16),IF(16&gt;Assumptions!$B$8,0,0))</f>
        <v>0</v>
      </c>
      <c r="S26" s="48" t="n">
        <f aca="false">IF(SUMIFS('AP Data (NetSuite)'!H2:H97,'AP Data (NetSuite)'!E2:E97,"*Other*",'AP Data (NetSuite)'!L2:L97,17)&gt;0,SUMIFS('AP Data (NetSuite)'!H2:H97,'AP Data (NetSuite)'!E2:E97,"*Other*",'AP Data (NetSuite)'!L2:L97,17),IF(17&gt;Assumptions!$B$8,0,0))</f>
        <v>0</v>
      </c>
      <c r="T26" s="49" t="n">
        <f aca="false">IF(SUMIFS('AP Data (NetSuite)'!H2:H97,'AP Data (NetSuite)'!E2:E97,"*Other*",'AP Data (NetSuite)'!L2:L97,18)&gt;0,SUMIFS('AP Data (NetSuite)'!H2:H97,'AP Data (NetSuite)'!E2:E97,"*Other*",'AP Data (NetSuite)'!L2:L97,18),IF(18&gt;Assumptions!$B$8,0,0))</f>
        <v>0</v>
      </c>
      <c r="U26" s="49" t="n">
        <f aca="false">IF(SUMIFS('AP Data (NetSuite)'!H2:H97,'AP Data (NetSuite)'!E2:E97,"*Other*",'AP Data (NetSuite)'!L2:L97,19)&gt;0,SUMIFS('AP Data (NetSuite)'!H2:H97,'AP Data (NetSuite)'!E2:E97,"*Other*",'AP Data (NetSuite)'!L2:L97,19),IF(19&gt;Assumptions!$B$8,0,0))</f>
        <v>0</v>
      </c>
      <c r="V26" s="49" t="n">
        <f aca="false">IF(SUMIFS('AP Data (NetSuite)'!H2:H97,'AP Data (NetSuite)'!E2:E97,"*Other*",'AP Data (NetSuite)'!L2:L97,20)&gt;0,SUMIFS('AP Data (NetSuite)'!H2:H97,'AP Data (NetSuite)'!E2:E97,"*Other*",'AP Data (NetSuite)'!L2:L97,20),IF(20&gt;Assumptions!$B$8,3500,0))</f>
        <v>3500</v>
      </c>
      <c r="W26" s="49" t="n">
        <f aca="false">IF(SUMIFS('AP Data (NetSuite)'!H2:H97,'AP Data (NetSuite)'!E2:E97,"*Other*",'AP Data (NetSuite)'!L2:L97,21)&gt;0,SUMIFS('AP Data (NetSuite)'!H2:H97,'AP Data (NetSuite)'!E2:E97,"*Other*",'AP Data (NetSuite)'!L2:L97,21),IF(21&gt;Assumptions!$B$8,0,0))</f>
        <v>0</v>
      </c>
      <c r="X26" s="49" t="n">
        <f aca="false">IF(SUMIFS('AP Data (NetSuite)'!H2:H97,'AP Data (NetSuite)'!E2:E97,"*Other*",'AP Data (NetSuite)'!L2:L97,22)&gt;0,SUMIFS('AP Data (NetSuite)'!H2:H97,'AP Data (NetSuite)'!E2:E97,"*Other*",'AP Data (NetSuite)'!L2:L97,22),IF(22&gt;Assumptions!$B$8,0,0))</f>
        <v>0</v>
      </c>
      <c r="Y26" s="49" t="n">
        <f aca="false">IF(SUMIFS('AP Data (NetSuite)'!H2:H97,'AP Data (NetSuite)'!E2:E97,"*Other*",'AP Data (NetSuite)'!L2:L97,23)&gt;0,SUMIFS('AP Data (NetSuite)'!H2:H97,'AP Data (NetSuite)'!E2:E97,"*Other*",'AP Data (NetSuite)'!L2:L97,23),IF(23&gt;Assumptions!$B$8,0,0))</f>
        <v>0</v>
      </c>
      <c r="Z26" s="49" t="n">
        <f aca="false">IF(SUMIFS('AP Data (NetSuite)'!H2:H97,'AP Data (NetSuite)'!E2:E97,"*Other*",'AP Data (NetSuite)'!L2:L97,24)&gt;0,SUMIFS('AP Data (NetSuite)'!H2:H97,'AP Data (NetSuite)'!E2:E97,"*Other*",'AP Data (NetSuite)'!L2:L97,24),IF(24&gt;Assumptions!$B$8,0,0))</f>
        <v>0</v>
      </c>
      <c r="AA26" s="49" t="n">
        <f aca="false">IF(SUMIFS('AP Data (NetSuite)'!H2:H97,'AP Data (NetSuite)'!E2:E97,"*Other*",'AP Data (NetSuite)'!L2:L97,25)&gt;0,SUMIFS('AP Data (NetSuite)'!H2:H97,'AP Data (NetSuite)'!E2:E97,"*Other*",'AP Data (NetSuite)'!L2:L97,25),IF(25&gt;Assumptions!$B$8,4100,0))</f>
        <v>4100</v>
      </c>
      <c r="AB26" s="49" t="n">
        <f aca="false">IF(SUMIFS('AP Data (NetSuite)'!H2:H97,'AP Data (NetSuite)'!E2:E97,"*Other*",'AP Data (NetSuite)'!L2:L97,26)&gt;0,SUMIFS('AP Data (NetSuite)'!H2:H97,'AP Data (NetSuite)'!E2:E97,"*Other*",'AP Data (NetSuite)'!L2:L97,26),IF(26&gt;Assumptions!$B$8,0,0))</f>
        <v>0</v>
      </c>
    </row>
    <row r="27" customFormat="false" ht="18" hidden="false" customHeight="true" outlineLevel="0" collapsed="false">
      <c r="A27" s="55" t="s">
        <v>392</v>
      </c>
      <c r="B27" s="56" t="n">
        <f aca="false">SUM(C27:AB27)</f>
        <v>2452100</v>
      </c>
      <c r="C27" s="57" t="n">
        <f aca="false">C19+C20+C21+C22+C23+C24+C25+C26</f>
        <v>65100</v>
      </c>
      <c r="D27" s="57" t="n">
        <f aca="false">D19+D20+D21+D22+D23+D24+D25+D26</f>
        <v>104800</v>
      </c>
      <c r="E27" s="57" t="n">
        <f aca="false">E19+E20+E21+E22+E23+E24+E25+E26</f>
        <v>90400</v>
      </c>
      <c r="F27" s="57" t="n">
        <f aca="false">F19+F20+F21+F22+F23+F24+F25+F26</f>
        <v>81900</v>
      </c>
      <c r="G27" s="57" t="n">
        <f aca="false">G19+G20+G21+G22+G23+G24+G25+G26</f>
        <v>88800</v>
      </c>
      <c r="H27" s="57" t="n">
        <f aca="false">H19+H20+H21+H22+H23+H24+H25+H26</f>
        <v>110100</v>
      </c>
      <c r="I27" s="57" t="n">
        <f aca="false">I19+I20+I21+I22+I23+I24+I25+I26</f>
        <v>96500</v>
      </c>
      <c r="J27" s="57" t="n">
        <f aca="false">J19+J20+J21+J22+J23+J24+J25+J26</f>
        <v>107700</v>
      </c>
      <c r="K27" s="57" t="n">
        <f aca="false">K19+K20+K21+K22+K23+K24+K25+K26</f>
        <v>94900</v>
      </c>
      <c r="L27" s="57" t="n">
        <f aca="false">L19+L20+L21+L22+L23+L24+L25+L26</f>
        <v>115400</v>
      </c>
      <c r="M27" s="57" t="n">
        <f aca="false">M19+M20+M21+M22+M23+M24+M25+M26</f>
        <v>104300</v>
      </c>
      <c r="N27" s="57" t="n">
        <f aca="false">N19+N20+N21+N22+N23+N24+N25+N26</f>
        <v>144500</v>
      </c>
      <c r="O27" s="57" t="n">
        <f aca="false">O19+O20+O21+O22+O23+O24+O25+O26</f>
        <v>80700</v>
      </c>
      <c r="P27" s="57" t="n">
        <f aca="false">P19+P20+P21+P22+P23+P24+P25+P26</f>
        <v>110500</v>
      </c>
      <c r="Q27" s="57" t="n">
        <f aca="false">Q19+Q20+Q21+Q22+Q23+Q24+Q25+Q26</f>
        <v>92900</v>
      </c>
      <c r="R27" s="57" t="n">
        <f aca="false">R19+R20+R21+R22+R23+R24+R25+R26</f>
        <v>87400</v>
      </c>
      <c r="S27" s="58" t="n">
        <f aca="false">S19+S20+S21+S22+S23+S24+S25+S26</f>
        <v>84100</v>
      </c>
      <c r="T27" s="57" t="n">
        <f aca="false">T19+T20+T21+T22+T23+T24+T25+T26</f>
        <v>68200</v>
      </c>
      <c r="U27" s="57" t="n">
        <f aca="false">U19+U20+U21+U22+U23+U24+U25+U26</f>
        <v>96100</v>
      </c>
      <c r="V27" s="57" t="n">
        <f aca="false">V19+V20+V21+V22+V23+V24+V25+V26</f>
        <v>86400</v>
      </c>
      <c r="W27" s="57" t="n">
        <f aca="false">W19+W20+W21+W22+W23+W24+W25+W26</f>
        <v>87800</v>
      </c>
      <c r="X27" s="57" t="n">
        <f aca="false">X19+X20+X21+X22+X23+X24+X25+X26</f>
        <v>97100</v>
      </c>
      <c r="Y27" s="57" t="n">
        <f aca="false">Y19+Y20+Y21+Y22+Y23+Y24+Y25+Y26</f>
        <v>102400</v>
      </c>
      <c r="Z27" s="57" t="n">
        <f aca="false">Z19+Z20+Z21+Z22+Z23+Z24+Z25+Z26</f>
        <v>69700</v>
      </c>
      <c r="AA27" s="57" t="n">
        <f aca="false">AA19+AA20+AA21+AA22+AA23+AA24+AA25+AA26</f>
        <v>95000</v>
      </c>
      <c r="AB27" s="57" t="n">
        <f aca="false">AB19+AB20+AB21+AB22+AB23+AB24+AB25+AB26</f>
        <v>89400</v>
      </c>
    </row>
    <row r="28" customFormat="false" ht="18" hidden="false" customHeight="true" outlineLevel="0" collapsed="false">
      <c r="A28" s="50" t="s">
        <v>393</v>
      </c>
      <c r="B28" s="51" t="n">
        <f aca="false">SUM(C28:AB28)</f>
        <v>4399600</v>
      </c>
      <c r="C28" s="52" t="n">
        <f aca="false">C17+C27</f>
        <v>190100</v>
      </c>
      <c r="D28" s="52" t="n">
        <f aca="false">D17+D27</f>
        <v>104800</v>
      </c>
      <c r="E28" s="52" t="n">
        <f aca="false">E17+E27</f>
        <v>172900</v>
      </c>
      <c r="F28" s="52" t="n">
        <f aca="false">F17+F27</f>
        <v>81900</v>
      </c>
      <c r="G28" s="52" t="n">
        <f aca="false">G17+G27</f>
        <v>213800</v>
      </c>
      <c r="H28" s="52" t="n">
        <f aca="false">H17+H27</f>
        <v>110100</v>
      </c>
      <c r="I28" s="52" t="n">
        <f aca="false">I17+I27</f>
        <v>179000</v>
      </c>
      <c r="J28" s="52" t="n">
        <f aca="false">J17+J27</f>
        <v>107700</v>
      </c>
      <c r="K28" s="52" t="n">
        <f aca="false">K17+K27</f>
        <v>219900</v>
      </c>
      <c r="L28" s="52" t="n">
        <f aca="false">L17+L27</f>
        <v>115400</v>
      </c>
      <c r="M28" s="52" t="n">
        <f aca="false">M17+M27</f>
        <v>186800</v>
      </c>
      <c r="N28" s="52" t="n">
        <f aca="false">N17+N27</f>
        <v>144500</v>
      </c>
      <c r="O28" s="52" t="n">
        <f aca="false">O17+O27</f>
        <v>288200</v>
      </c>
      <c r="P28" s="52" t="n">
        <f aca="false">P17+P27</f>
        <v>110500</v>
      </c>
      <c r="Q28" s="52" t="n">
        <f aca="false">Q17+Q27</f>
        <v>257900</v>
      </c>
      <c r="R28" s="52" t="n">
        <f aca="false">R17+R27</f>
        <v>87400</v>
      </c>
      <c r="S28" s="53" t="n">
        <f aca="false">S17+S27</f>
        <v>291600</v>
      </c>
      <c r="T28" s="54" t="n">
        <f aca="false">T17+T27</f>
        <v>68200</v>
      </c>
      <c r="U28" s="54" t="n">
        <f aca="false">U17+U27</f>
        <v>261100</v>
      </c>
      <c r="V28" s="54" t="n">
        <f aca="false">V17+V27</f>
        <v>86400</v>
      </c>
      <c r="W28" s="54" t="n">
        <f aca="false">W17+W27</f>
        <v>295300</v>
      </c>
      <c r="X28" s="54" t="n">
        <f aca="false">X17+X27</f>
        <v>97100</v>
      </c>
      <c r="Y28" s="54" t="n">
        <f aca="false">Y17+Y27</f>
        <v>267400</v>
      </c>
      <c r="Z28" s="54" t="n">
        <f aca="false">Z17+Z27</f>
        <v>69700</v>
      </c>
      <c r="AA28" s="54" t="n">
        <f aca="false">AA17+AA27</f>
        <v>302500</v>
      </c>
      <c r="AB28" s="54" t="n">
        <f aca="false">AB17+AB27</f>
        <v>89400</v>
      </c>
    </row>
    <row r="29" customFormat="false" ht="18" hidden="false" customHeight="true" outlineLevel="0" collapsed="false">
      <c r="A29" s="42" t="s">
        <v>394</v>
      </c>
      <c r="B29" s="56" t="n">
        <f aca="false">SUM(C29:AB29)</f>
        <v>1693000</v>
      </c>
      <c r="C29" s="44" t="n">
        <f aca="false">C10-C28</f>
        <v>280000</v>
      </c>
      <c r="D29" s="44" t="n">
        <f aca="false">D10-D28</f>
        <v>382700</v>
      </c>
      <c r="E29" s="44" t="n">
        <f aca="false">E10-E28</f>
        <v>333700</v>
      </c>
      <c r="F29" s="44" t="n">
        <f aca="false">F10-F28</f>
        <v>387100</v>
      </c>
      <c r="G29" s="44" t="n">
        <f aca="false">G10-G28</f>
        <v>-71000</v>
      </c>
      <c r="H29" s="44" t="n">
        <f aca="false">H10-H28</f>
        <v>6900</v>
      </c>
      <c r="I29" s="44" t="n">
        <f aca="false">I10-I28</f>
        <v>-30800</v>
      </c>
      <c r="J29" s="44" t="n">
        <f aca="false">J10-J28</f>
        <v>388000</v>
      </c>
      <c r="K29" s="44" t="n">
        <f aca="false">K10-K28</f>
        <v>800</v>
      </c>
      <c r="L29" s="44" t="n">
        <f aca="false">L10-L28</f>
        <v>243200</v>
      </c>
      <c r="M29" s="44" t="n">
        <f aca="false">M10-M28</f>
        <v>-186800</v>
      </c>
      <c r="N29" s="44" t="n">
        <f aca="false">N10-N28</f>
        <v>-61300</v>
      </c>
      <c r="O29" s="44" t="n">
        <f aca="false">O10-O28</f>
        <v>2000</v>
      </c>
      <c r="P29" s="44" t="n">
        <f aca="false">P10-P28</f>
        <v>163200</v>
      </c>
      <c r="Q29" s="44" t="n">
        <f aca="false">Q10-Q28</f>
        <v>-185900</v>
      </c>
      <c r="R29" s="44" t="n">
        <f aca="false">R10-R28</f>
        <v>-27100</v>
      </c>
      <c r="S29" s="59" t="n">
        <f aca="false">S10-S28</f>
        <v>-51800</v>
      </c>
      <c r="T29" s="44" t="n">
        <f aca="false">T10-T28</f>
        <v>240800</v>
      </c>
      <c r="U29" s="44" t="n">
        <f aca="false">U10-U28</f>
        <v>-142000</v>
      </c>
      <c r="V29" s="44" t="n">
        <f aca="false">V10-V28</f>
        <v>-72800</v>
      </c>
      <c r="W29" s="44" t="n">
        <f aca="false">W10-W28</f>
        <v>-66100</v>
      </c>
      <c r="X29" s="44" t="n">
        <f aca="false">X10-X28</f>
        <v>202100</v>
      </c>
      <c r="Y29" s="44" t="n">
        <f aca="false">Y10-Y28</f>
        <v>-143800</v>
      </c>
      <c r="Z29" s="44" t="n">
        <f aca="false">Z10-Z28</f>
        <v>-55600</v>
      </c>
      <c r="AA29" s="44" t="n">
        <f aca="false">AA10-AA28</f>
        <v>-76600</v>
      </c>
      <c r="AB29" s="44" t="n">
        <f aca="false">AB10-AB28</f>
        <v>234100</v>
      </c>
    </row>
    <row r="30" customFormat="false" ht="19.5" hidden="false" customHeight="true" outlineLevel="0" collapsed="false">
      <c r="A30" s="60" t="s">
        <v>395</v>
      </c>
      <c r="B30" s="61" t="n">
        <f aca="false">AB30</f>
        <v>2193000</v>
      </c>
      <c r="C30" s="62" t="n">
        <f aca="false">C5+C29</f>
        <v>780000</v>
      </c>
      <c r="D30" s="62" t="n">
        <f aca="false">C30+D29</f>
        <v>1162700</v>
      </c>
      <c r="E30" s="62" t="n">
        <f aca="false">D30+E29</f>
        <v>1496400</v>
      </c>
      <c r="F30" s="62" t="n">
        <f aca="false">E30+F29</f>
        <v>1883500</v>
      </c>
      <c r="G30" s="62" t="n">
        <f aca="false">F30+G29</f>
        <v>1812500</v>
      </c>
      <c r="H30" s="62" t="n">
        <f aca="false">G30+H29</f>
        <v>1819400</v>
      </c>
      <c r="I30" s="62" t="n">
        <f aca="false">H30+I29</f>
        <v>1788600</v>
      </c>
      <c r="J30" s="62" t="n">
        <f aca="false">I30+J29</f>
        <v>2176600</v>
      </c>
      <c r="K30" s="62" t="n">
        <f aca="false">J30+K29</f>
        <v>2177400</v>
      </c>
      <c r="L30" s="62" t="n">
        <f aca="false">K30+L29</f>
        <v>2420600</v>
      </c>
      <c r="M30" s="62" t="n">
        <f aca="false">L30+M29</f>
        <v>2233800</v>
      </c>
      <c r="N30" s="62" t="n">
        <f aca="false">M30+N29</f>
        <v>2172500</v>
      </c>
      <c r="O30" s="62" t="n">
        <f aca="false">N30+O29</f>
        <v>2174500</v>
      </c>
      <c r="P30" s="62" t="n">
        <f aca="false">O30+P29</f>
        <v>2337700</v>
      </c>
      <c r="Q30" s="62" t="n">
        <f aca="false">P30+Q29</f>
        <v>2151800</v>
      </c>
      <c r="R30" s="62" t="n">
        <f aca="false">Q30+R29</f>
        <v>2124700</v>
      </c>
      <c r="S30" s="63" t="n">
        <f aca="false">R30+S29</f>
        <v>2072900</v>
      </c>
      <c r="T30" s="62" t="n">
        <f aca="false">S30+T29</f>
        <v>2313700</v>
      </c>
      <c r="U30" s="62" t="n">
        <f aca="false">T30+U29</f>
        <v>2171700</v>
      </c>
      <c r="V30" s="62" t="n">
        <f aca="false">U30+V29</f>
        <v>2098900</v>
      </c>
      <c r="W30" s="62" t="n">
        <f aca="false">V30+W29</f>
        <v>2032800</v>
      </c>
      <c r="X30" s="62" t="n">
        <f aca="false">W30+X29</f>
        <v>2234900</v>
      </c>
      <c r="Y30" s="62" t="n">
        <f aca="false">X30+Y29</f>
        <v>2091100</v>
      </c>
      <c r="Z30" s="62" t="n">
        <f aca="false">Y30+Z29</f>
        <v>2035500</v>
      </c>
      <c r="AA30" s="62" t="n">
        <f aca="false">Z30+AA29</f>
        <v>1958900</v>
      </c>
      <c r="AB30" s="62" t="n">
        <f aca="false">AA30+AB29</f>
        <v>2193000</v>
      </c>
    </row>
    <row r="31" customFormat="false" ht="21.75" hidden="false" customHeight="true" outlineLevel="0" collapsed="false"/>
    <row r="32" customFormat="false" ht="12.75" hidden="false" customHeight="true" outlineLevel="0" collapsed="false">
      <c r="A32" s="64" t="s">
        <v>396</v>
      </c>
      <c r="C32" s="65" t="n">
        <f aca="false">C30</f>
        <v>780000</v>
      </c>
      <c r="D32" s="65" t="n">
        <f aca="false">D30</f>
        <v>1162700</v>
      </c>
      <c r="E32" s="65" t="n">
        <f aca="false">E30</f>
        <v>1496400</v>
      </c>
      <c r="F32" s="65" t="n">
        <f aca="false">F30</f>
        <v>1883500</v>
      </c>
      <c r="G32" s="65" t="n">
        <f aca="false">G30</f>
        <v>1812500</v>
      </c>
      <c r="H32" s="65" t="n">
        <f aca="false">H30</f>
        <v>1819400</v>
      </c>
      <c r="I32" s="65" t="n">
        <f aca="false">I30</f>
        <v>1788600</v>
      </c>
      <c r="J32" s="65" t="n">
        <f aca="false">J30</f>
        <v>2176600</v>
      </c>
      <c r="K32" s="65" t="n">
        <f aca="false">K30</f>
        <v>2177400</v>
      </c>
      <c r="L32" s="65" t="n">
        <f aca="false">L30</f>
        <v>2420600</v>
      </c>
      <c r="M32" s="65" t="n">
        <f aca="false">M30</f>
        <v>2233800</v>
      </c>
      <c r="N32" s="65" t="n">
        <f aca="false">N30</f>
        <v>2172500</v>
      </c>
      <c r="O32" s="65" t="n">
        <f aca="false">O30</f>
        <v>2174500</v>
      </c>
      <c r="P32" s="65" t="n">
        <f aca="false">P30</f>
        <v>2337700</v>
      </c>
      <c r="Q32" s="65" t="n">
        <f aca="false">Q30</f>
        <v>2151800</v>
      </c>
      <c r="R32" s="65" t="n">
        <f aca="false">R30</f>
        <v>2124700</v>
      </c>
      <c r="S32" s="65" t="n">
        <f aca="false">S30</f>
        <v>2072900</v>
      </c>
      <c r="T32" s="65" t="n">
        <f aca="false">S30+(T10*(1+Assumptions!$B$37)-T28*(1-Assumptions!$B$38))</f>
        <v>2366870</v>
      </c>
      <c r="U32" s="65" t="n">
        <f aca="false">T32+(U10*(1+Assumptions!$B$37)-U28*(1-Assumptions!$B$38))</f>
        <v>2268845</v>
      </c>
      <c r="V32" s="65" t="n">
        <f aca="false">U32+(V10*(1+Assumptions!$B$37)-V28*(1-Assumptions!$B$38))</f>
        <v>2206725</v>
      </c>
      <c r="W32" s="65" t="n">
        <f aca="false">V32+(W10*(1+Assumptions!$B$37)-W28*(1-Assumptions!$B$38))</f>
        <v>2204535</v>
      </c>
      <c r="X32" s="65" t="n">
        <f aca="false">W32+(X10*(1+Assumptions!$B$37)-X28*(1-Assumptions!$B$38))</f>
        <v>2461225</v>
      </c>
      <c r="Y32" s="65" t="n">
        <f aca="false">X32+(Y10*(1+Assumptions!$B$37)-Y28*(1-Assumptions!$B$38))</f>
        <v>2362705</v>
      </c>
      <c r="Z32" s="65" t="n">
        <f aca="false">Y32+(Z10*(1+Assumptions!$B$37)-Z28*(1-Assumptions!$B$38))</f>
        <v>2316190</v>
      </c>
      <c r="AA32" s="65" t="n">
        <f aca="false">Z32+(AA10*(1+Assumptions!$B$37)-AA28*(1-Assumptions!$B$38))</f>
        <v>2303725</v>
      </c>
      <c r="AB32" s="65" t="n">
        <f aca="false">AA32+(AB10*(1+Assumptions!$B$37)-AB28*(1-Assumptions!$B$38))</f>
        <v>2595290</v>
      </c>
    </row>
    <row r="33" customFormat="false" ht="12.75" hidden="false" customHeight="true" outlineLevel="0" collapsed="false">
      <c r="A33" s="64" t="s">
        <v>397</v>
      </c>
      <c r="C33" s="65" t="n">
        <f aca="false">C30</f>
        <v>780000</v>
      </c>
      <c r="D33" s="65" t="n">
        <f aca="false">D30</f>
        <v>1162700</v>
      </c>
      <c r="E33" s="65" t="n">
        <f aca="false">E30</f>
        <v>1496400</v>
      </c>
      <c r="F33" s="65" t="n">
        <f aca="false">F30</f>
        <v>1883500</v>
      </c>
      <c r="G33" s="65" t="n">
        <f aca="false">G30</f>
        <v>1812500</v>
      </c>
      <c r="H33" s="65" t="n">
        <f aca="false">H30</f>
        <v>1819400</v>
      </c>
      <c r="I33" s="65" t="n">
        <f aca="false">I30</f>
        <v>1788600</v>
      </c>
      <c r="J33" s="65" t="n">
        <f aca="false">J30</f>
        <v>2176600</v>
      </c>
      <c r="K33" s="65" t="n">
        <f aca="false">K30</f>
        <v>2177400</v>
      </c>
      <c r="L33" s="65" t="n">
        <f aca="false">L30</f>
        <v>2420600</v>
      </c>
      <c r="M33" s="65" t="n">
        <f aca="false">M30</f>
        <v>2233800</v>
      </c>
      <c r="N33" s="65" t="n">
        <f aca="false">N30</f>
        <v>2172500</v>
      </c>
      <c r="O33" s="65" t="n">
        <f aca="false">O30</f>
        <v>2174500</v>
      </c>
      <c r="P33" s="65" t="n">
        <f aca="false">P30</f>
        <v>2337700</v>
      </c>
      <c r="Q33" s="65" t="n">
        <f aca="false">Q30</f>
        <v>2151800</v>
      </c>
      <c r="R33" s="65" t="n">
        <f aca="false">R30</f>
        <v>2124700</v>
      </c>
      <c r="S33" s="65" t="n">
        <f aca="false">S30</f>
        <v>2072900</v>
      </c>
      <c r="T33" s="65" t="n">
        <f aca="false">S30+(T10*(1-Assumptions!$B$39)-T28*(1+Assumptions!$B$40))</f>
        <v>2257120</v>
      </c>
      <c r="U33" s="65" t="n">
        <f aca="false">T33+(U10*(1-Assumptions!$B$39)-U28*(1+Assumptions!$B$40))</f>
        <v>2058090</v>
      </c>
      <c r="V33" s="65" t="n">
        <f aca="false">U33+(V10*(1-Assumptions!$B$39)-V28*(1+Assumptions!$B$40))</f>
        <v>1970290</v>
      </c>
      <c r="W33" s="65" t="n">
        <f aca="false">V33+(W10*(1-Assumptions!$B$39)-W28*(1+Assumptions!$B$40))</f>
        <v>1825515</v>
      </c>
      <c r="X33" s="65" t="n">
        <f aca="false">W33+(X10*(1-Assumptions!$B$39)-X28*(1+Assumptions!$B$40))</f>
        <v>1968170</v>
      </c>
      <c r="Y33" s="65" t="n">
        <f aca="false">X33+(Y10*(1-Assumptions!$B$39)-Y28*(1+Assumptions!$B$40))</f>
        <v>1765720</v>
      </c>
      <c r="Z33" s="65" t="n">
        <f aca="false">Y33+(Z10*(1-Assumptions!$B$39)-Z28*(1+Assumptions!$B$40))</f>
        <v>1697550</v>
      </c>
      <c r="AA33" s="65" t="n">
        <f aca="false">Z33+(AA10*(1-Assumptions!$B$39)-AA28*(1+Assumptions!$B$40))</f>
        <v>1541690</v>
      </c>
      <c r="AB33" s="65" t="n">
        <f aca="false">AA33+(AB10*(1-Assumptions!$B$39)-AB28*(1+Assumptions!$B$40))</f>
        <v>1713855</v>
      </c>
    </row>
    <row r="34" customFormat="false" ht="15.75" hidden="false" customHeight="true" outlineLevel="0" collapsed="false"/>
  </sheetData>
  <mergeCells count="5">
    <mergeCell ref="A1:AC1"/>
    <mergeCell ref="A2:AC2"/>
    <mergeCell ref="A6:AC6"/>
    <mergeCell ref="A11:AC11"/>
    <mergeCell ref="A18:AC18"/>
  </mergeCells>
  <conditionalFormatting sqref="C3:C33">
    <cfRule type="expression" priority="2" aboveAverage="0" equalAverage="0" bottom="0" percent="0" rank="0" text="" dxfId="0">
      <formula>1=Assumptions!$B$8</formula>
    </cfRule>
  </conditionalFormatting>
  <conditionalFormatting sqref="D3:D33">
    <cfRule type="expression" priority="3" aboveAverage="0" equalAverage="0" bottom="0" percent="0" rank="0" text="" dxfId="0">
      <formula>2=Assumptions!$B$8</formula>
    </cfRule>
  </conditionalFormatting>
  <conditionalFormatting sqref="E3:E33">
    <cfRule type="expression" priority="4" aboveAverage="0" equalAverage="0" bottom="0" percent="0" rank="0" text="" dxfId="0">
      <formula>3=Assumptions!$B$8</formula>
    </cfRule>
  </conditionalFormatting>
  <conditionalFormatting sqref="F3:F33">
    <cfRule type="expression" priority="5" aboveAverage="0" equalAverage="0" bottom="0" percent="0" rank="0" text="" dxfId="0">
      <formula>4=Assumptions!$B$8</formula>
    </cfRule>
  </conditionalFormatting>
  <conditionalFormatting sqref="G3:G33">
    <cfRule type="expression" priority="6" aboveAverage="0" equalAverage="0" bottom="0" percent="0" rank="0" text="" dxfId="0">
      <formula>5=Assumptions!$B$8</formula>
    </cfRule>
  </conditionalFormatting>
  <conditionalFormatting sqref="H3:H33">
    <cfRule type="expression" priority="7" aboveAverage="0" equalAverage="0" bottom="0" percent="0" rank="0" text="" dxfId="0">
      <formula>6=Assumptions!$B$8</formula>
    </cfRule>
  </conditionalFormatting>
  <conditionalFormatting sqref="I3:I33">
    <cfRule type="expression" priority="8" aboveAverage="0" equalAverage="0" bottom="0" percent="0" rank="0" text="" dxfId="0">
      <formula>7=Assumptions!$B$8</formula>
    </cfRule>
  </conditionalFormatting>
  <conditionalFormatting sqref="J3:J33">
    <cfRule type="expression" priority="9" aboveAverage="0" equalAverage="0" bottom="0" percent="0" rank="0" text="" dxfId="0">
      <formula>8=Assumptions!$B$8</formula>
    </cfRule>
  </conditionalFormatting>
  <conditionalFormatting sqref="K3:K33">
    <cfRule type="expression" priority="10" aboveAverage="0" equalAverage="0" bottom="0" percent="0" rank="0" text="" dxfId="0">
      <formula>9=Assumptions!$B$8</formula>
    </cfRule>
  </conditionalFormatting>
  <conditionalFormatting sqref="L3:L33">
    <cfRule type="expression" priority="11" aboveAverage="0" equalAverage="0" bottom="0" percent="0" rank="0" text="" dxfId="0">
      <formula>10=Assumptions!$B$8</formula>
    </cfRule>
  </conditionalFormatting>
  <conditionalFormatting sqref="M3:M33">
    <cfRule type="expression" priority="12" aboveAverage="0" equalAverage="0" bottom="0" percent="0" rank="0" text="" dxfId="0">
      <formula>11=Assumptions!$B$8</formula>
    </cfRule>
  </conditionalFormatting>
  <conditionalFormatting sqref="N3:N33">
    <cfRule type="expression" priority="13" aboveAverage="0" equalAverage="0" bottom="0" percent="0" rank="0" text="" dxfId="0">
      <formula>12=Assumptions!$B$8</formula>
    </cfRule>
  </conditionalFormatting>
  <conditionalFormatting sqref="O3:O33">
    <cfRule type="expression" priority="14" aboveAverage="0" equalAverage="0" bottom="0" percent="0" rank="0" text="" dxfId="0">
      <formula>13=Assumptions!$B$8</formula>
    </cfRule>
  </conditionalFormatting>
  <conditionalFormatting sqref="P3:P33">
    <cfRule type="expression" priority="15" aboveAverage="0" equalAverage="0" bottom="0" percent="0" rank="0" text="" dxfId="0">
      <formula>14=Assumptions!$B$8</formula>
    </cfRule>
  </conditionalFormatting>
  <conditionalFormatting sqref="Q3:Q33">
    <cfRule type="expression" priority="16" aboveAverage="0" equalAverage="0" bottom="0" percent="0" rank="0" text="" dxfId="0">
      <formula>15=Assumptions!$B$8</formula>
    </cfRule>
  </conditionalFormatting>
  <conditionalFormatting sqref="R3:R33">
    <cfRule type="expression" priority="17" aboveAverage="0" equalAverage="0" bottom="0" percent="0" rank="0" text="" dxfId="0">
      <formula>16=Assumptions!$B$8</formula>
    </cfRule>
  </conditionalFormatting>
  <conditionalFormatting sqref="S3:S33">
    <cfRule type="expression" priority="18" aboveAverage="0" equalAverage="0" bottom="0" percent="0" rank="0" text="" dxfId="0">
      <formula>17=Assumptions!$B$8</formula>
    </cfRule>
  </conditionalFormatting>
  <conditionalFormatting sqref="T3:T33">
    <cfRule type="expression" priority="19" aboveAverage="0" equalAverage="0" bottom="0" percent="0" rank="0" text="" dxfId="0">
      <formula>18=Assumptions!$B$8</formula>
    </cfRule>
  </conditionalFormatting>
  <conditionalFormatting sqref="U3:U33">
    <cfRule type="expression" priority="20" aboveAverage="0" equalAverage="0" bottom="0" percent="0" rank="0" text="" dxfId="0">
      <formula>19=Assumptions!$B$8</formula>
    </cfRule>
  </conditionalFormatting>
  <conditionalFormatting sqref="V3:V33">
    <cfRule type="expression" priority="21" aboveAverage="0" equalAverage="0" bottom="0" percent="0" rank="0" text="" dxfId="0">
      <formula>20=Assumptions!$B$8</formula>
    </cfRule>
  </conditionalFormatting>
  <conditionalFormatting sqref="W3:W33">
    <cfRule type="expression" priority="22" aboveAverage="0" equalAverage="0" bottom="0" percent="0" rank="0" text="" dxfId="0">
      <formula>21=Assumptions!$B$8</formula>
    </cfRule>
  </conditionalFormatting>
  <conditionalFormatting sqref="X3:X33">
    <cfRule type="expression" priority="23" aboveAverage="0" equalAverage="0" bottom="0" percent="0" rank="0" text="" dxfId="0">
      <formula>22=Assumptions!$B$8</formula>
    </cfRule>
  </conditionalFormatting>
  <conditionalFormatting sqref="Y3:Y33">
    <cfRule type="expression" priority="24" aboveAverage="0" equalAverage="0" bottom="0" percent="0" rank="0" text="" dxfId="0">
      <formula>23=Assumptions!$B$8</formula>
    </cfRule>
  </conditionalFormatting>
  <conditionalFormatting sqref="Z3:Z33">
    <cfRule type="expression" priority="25" aboveAverage="0" equalAverage="0" bottom="0" percent="0" rank="0" text="" dxfId="0">
      <formula>24=Assumptions!$B$8</formula>
    </cfRule>
  </conditionalFormatting>
  <conditionalFormatting sqref="AA3:AA33">
    <cfRule type="expression" priority="26" aboveAverage="0" equalAverage="0" bottom="0" percent="0" rank="0" text="" dxfId="0">
      <formula>25=Assumptions!$B$8</formula>
    </cfRule>
  </conditionalFormatting>
  <conditionalFormatting sqref="AB3:AB33">
    <cfRule type="expression" priority="27" aboveAverage="0" equalAverage="0" bottom="0" percent="0" rank="0" text="" dxfId="0">
      <formula>26=Assumptions!$B$8</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1" width="44"/>
    <col collapsed="false" customWidth="true" hidden="false" outlineLevel="0" max="2" min="2" style="1" width="16"/>
    <col collapsed="false" customWidth="true" hidden="false" outlineLevel="0" max="16" min="3" style="1" width="11"/>
  </cols>
  <sheetData>
    <row r="1" customFormat="false" ht="21.75" hidden="false" customHeight="true" outlineLevel="0" collapsed="false">
      <c r="A1" s="14" t="s">
        <v>398</v>
      </c>
      <c r="B1" s="14"/>
      <c r="C1" s="14"/>
      <c r="D1" s="14"/>
      <c r="E1" s="14"/>
      <c r="F1" s="14"/>
      <c r="G1" s="14"/>
      <c r="H1" s="14"/>
      <c r="I1" s="14"/>
      <c r="J1" s="14"/>
      <c r="K1" s="14"/>
      <c r="L1" s="14"/>
      <c r="M1" s="14"/>
      <c r="N1" s="14"/>
      <c r="O1" s="14"/>
      <c r="P1" s="14"/>
    </row>
    <row r="2" customFormat="false" ht="15.75" hidden="false" customHeight="true" outlineLevel="0" collapsed="false">
      <c r="A2" s="15" t="s">
        <v>399</v>
      </c>
      <c r="B2" s="15"/>
      <c r="C2" s="15"/>
      <c r="D2" s="15"/>
      <c r="E2" s="15"/>
      <c r="F2" s="15"/>
      <c r="G2" s="15"/>
      <c r="H2" s="15"/>
      <c r="I2" s="15"/>
      <c r="J2" s="15"/>
      <c r="K2" s="15"/>
      <c r="L2" s="15"/>
      <c r="M2" s="15"/>
      <c r="N2" s="15"/>
      <c r="O2" s="15"/>
      <c r="P2" s="15"/>
    </row>
    <row r="3" customFormat="false" ht="15.75" hidden="false" customHeight="true" outlineLevel="0" collapsed="false">
      <c r="A3" s="35"/>
      <c r="B3" s="36" t="s">
        <v>400</v>
      </c>
      <c r="C3" s="66" t="s">
        <v>401</v>
      </c>
      <c r="D3" s="66" t="s">
        <v>402</v>
      </c>
      <c r="E3" s="66" t="s">
        <v>403</v>
      </c>
      <c r="F3" s="66" t="s">
        <v>404</v>
      </c>
      <c r="G3" s="66" t="s">
        <v>405</v>
      </c>
      <c r="H3" s="66" t="s">
        <v>406</v>
      </c>
      <c r="I3" s="66" t="s">
        <v>407</v>
      </c>
      <c r="J3" s="66" t="s">
        <v>408</v>
      </c>
      <c r="K3" s="66" t="s">
        <v>409</v>
      </c>
      <c r="L3" s="66" t="s">
        <v>410</v>
      </c>
      <c r="M3" s="66" t="s">
        <v>411</v>
      </c>
      <c r="N3" s="66" t="s">
        <v>412</v>
      </c>
    </row>
    <row r="4" customFormat="false" ht="18" hidden="false" customHeight="true" outlineLevel="0" collapsed="false">
      <c r="A4" s="42" t="s">
        <v>413</v>
      </c>
      <c r="B4" s="51" t="n">
        <f aca="false">SUM(C4:N4)</f>
        <v>3499400</v>
      </c>
      <c r="C4" s="44" t="n">
        <f aca="false">'Cash Flow'!C10</f>
        <v>470100</v>
      </c>
      <c r="D4" s="44" t="n">
        <f aca="false">'Cash Flow'!D10</f>
        <v>487500</v>
      </c>
      <c r="E4" s="44" t="n">
        <f aca="false">'Cash Flow'!E10</f>
        <v>506600</v>
      </c>
      <c r="F4" s="44" t="n">
        <f aca="false">'Cash Flow'!F10</f>
        <v>469000</v>
      </c>
      <c r="G4" s="44" t="n">
        <f aca="false">'Cash Flow'!G10</f>
        <v>142800</v>
      </c>
      <c r="H4" s="44" t="n">
        <f aca="false">'Cash Flow'!H10</f>
        <v>117000</v>
      </c>
      <c r="I4" s="44" t="n">
        <f aca="false">'Cash Flow'!I10</f>
        <v>148200</v>
      </c>
      <c r="J4" s="44" t="n">
        <f aca="false">'Cash Flow'!J10</f>
        <v>495700</v>
      </c>
      <c r="K4" s="44" t="n">
        <f aca="false">'Cash Flow'!K10</f>
        <v>220700</v>
      </c>
      <c r="L4" s="44" t="n">
        <f aca="false">'Cash Flow'!L10</f>
        <v>358600</v>
      </c>
      <c r="M4" s="44" t="n">
        <f aca="false">'Cash Flow'!M10</f>
        <v>0</v>
      </c>
      <c r="N4" s="44" t="n">
        <f aca="false">'Cash Flow'!N10</f>
        <v>83200</v>
      </c>
    </row>
    <row r="5" customFormat="false" ht="15.75" hidden="false" customHeight="true" outlineLevel="0" collapsed="false">
      <c r="A5" s="67" t="s">
        <v>414</v>
      </c>
      <c r="B5" s="68" t="n">
        <f aca="false">SUM(C5:N5)</f>
        <v>0</v>
      </c>
      <c r="C5" s="69" t="n">
        <v>0</v>
      </c>
      <c r="D5" s="69" t="n">
        <v>0</v>
      </c>
      <c r="E5" s="69" t="n">
        <v>0</v>
      </c>
      <c r="F5" s="69" t="n">
        <v>0</v>
      </c>
      <c r="G5" s="69" t="n">
        <v>0</v>
      </c>
      <c r="H5" s="69" t="n">
        <v>0</v>
      </c>
      <c r="I5" s="69" t="n">
        <v>0</v>
      </c>
      <c r="J5" s="69" t="n">
        <v>0</v>
      </c>
      <c r="K5" s="69" t="n">
        <v>0</v>
      </c>
      <c r="L5" s="69" t="n">
        <v>0</v>
      </c>
      <c r="M5" s="69" t="n">
        <v>0</v>
      </c>
      <c r="N5" s="69" t="n">
        <v>0</v>
      </c>
    </row>
    <row r="6" customFormat="false" ht="18" hidden="false" customHeight="true" outlineLevel="0" collapsed="false">
      <c r="A6" s="4" t="s">
        <v>415</v>
      </c>
      <c r="B6" s="56" t="n">
        <f aca="false">SUM(C6:N6)</f>
        <v>3499400</v>
      </c>
      <c r="C6" s="56" t="n">
        <f aca="false">C4-C5</f>
        <v>470100</v>
      </c>
      <c r="D6" s="56" t="n">
        <f aca="false">D4-D5</f>
        <v>487500</v>
      </c>
      <c r="E6" s="56" t="n">
        <f aca="false">E4-E5</f>
        <v>506600</v>
      </c>
      <c r="F6" s="56" t="n">
        <f aca="false">F4-F5</f>
        <v>469000</v>
      </c>
      <c r="G6" s="56" t="n">
        <f aca="false">G4-G5</f>
        <v>142800</v>
      </c>
      <c r="H6" s="56" t="n">
        <f aca="false">H4-H5</f>
        <v>117000</v>
      </c>
      <c r="I6" s="56" t="n">
        <f aca="false">I4-I5</f>
        <v>148200</v>
      </c>
      <c r="J6" s="56" t="n">
        <f aca="false">J4-J5</f>
        <v>495700</v>
      </c>
      <c r="K6" s="56" t="n">
        <f aca="false">K4-K5</f>
        <v>220700</v>
      </c>
      <c r="L6" s="56" t="n">
        <f aca="false">L4-L5</f>
        <v>358600</v>
      </c>
      <c r="M6" s="56" t="n">
        <f aca="false">M4-M5</f>
        <v>0</v>
      </c>
      <c r="N6" s="56" t="n">
        <f aca="false">N4-N5</f>
        <v>83200</v>
      </c>
    </row>
    <row r="7" customFormat="false" ht="16.5" hidden="false" customHeight="true" outlineLevel="0" collapsed="false"/>
    <row r="8" customFormat="false" ht="18" hidden="false" customHeight="true" outlineLevel="0" collapsed="false">
      <c r="A8" s="42" t="s">
        <v>416</v>
      </c>
      <c r="B8" s="51" t="n">
        <f aca="false">SUM(C8:N8)</f>
        <v>1826900</v>
      </c>
      <c r="C8" s="44" t="n">
        <f aca="false">'Cash Flow'!C28</f>
        <v>190100</v>
      </c>
      <c r="D8" s="44" t="n">
        <f aca="false">'Cash Flow'!D28</f>
        <v>104800</v>
      </c>
      <c r="E8" s="44" t="n">
        <f aca="false">'Cash Flow'!E28</f>
        <v>172900</v>
      </c>
      <c r="F8" s="44" t="n">
        <f aca="false">'Cash Flow'!F28</f>
        <v>81900</v>
      </c>
      <c r="G8" s="44" t="n">
        <f aca="false">'Cash Flow'!G28</f>
        <v>213800</v>
      </c>
      <c r="H8" s="44" t="n">
        <f aca="false">'Cash Flow'!H28</f>
        <v>110100</v>
      </c>
      <c r="I8" s="44" t="n">
        <f aca="false">'Cash Flow'!I28</f>
        <v>179000</v>
      </c>
      <c r="J8" s="44" t="n">
        <f aca="false">'Cash Flow'!J28</f>
        <v>107700</v>
      </c>
      <c r="K8" s="44" t="n">
        <f aca="false">'Cash Flow'!K28</f>
        <v>219900</v>
      </c>
      <c r="L8" s="44" t="n">
        <f aca="false">'Cash Flow'!L28</f>
        <v>115400</v>
      </c>
      <c r="M8" s="44" t="n">
        <f aca="false">'Cash Flow'!M28</f>
        <v>186800</v>
      </c>
      <c r="N8" s="44" t="n">
        <f aca="false">'Cash Flow'!N28</f>
        <v>144500</v>
      </c>
    </row>
    <row r="9" customFormat="false" ht="15.75" hidden="false" customHeight="true" outlineLevel="0" collapsed="false">
      <c r="A9" s="67" t="s">
        <v>417</v>
      </c>
      <c r="B9" s="68" t="n">
        <f aca="false">SUM(C9:N9)</f>
        <v>0</v>
      </c>
      <c r="C9" s="69" t="n">
        <v>0</v>
      </c>
      <c r="D9" s="69" t="n">
        <v>0</v>
      </c>
      <c r="E9" s="69" t="n">
        <v>0</v>
      </c>
      <c r="F9" s="69" t="n">
        <v>0</v>
      </c>
      <c r="G9" s="69" t="n">
        <v>0</v>
      </c>
      <c r="H9" s="69" t="n">
        <v>0</v>
      </c>
      <c r="I9" s="69" t="n">
        <v>0</v>
      </c>
      <c r="J9" s="69" t="n">
        <v>0</v>
      </c>
      <c r="K9" s="69" t="n">
        <v>0</v>
      </c>
      <c r="L9" s="69" t="n">
        <v>0</v>
      </c>
      <c r="M9" s="69" t="n">
        <v>0</v>
      </c>
      <c r="N9" s="69" t="n">
        <v>0</v>
      </c>
    </row>
    <row r="10" customFormat="false" ht="18" hidden="false" customHeight="true" outlineLevel="0" collapsed="false">
      <c r="A10" s="4" t="s">
        <v>418</v>
      </c>
      <c r="B10" s="56" t="n">
        <f aca="false">SUM(C10:N10)</f>
        <v>1826900</v>
      </c>
      <c r="C10" s="56" t="n">
        <f aca="false">C8-C9</f>
        <v>190100</v>
      </c>
      <c r="D10" s="56" t="n">
        <f aca="false">D8-D9</f>
        <v>104800</v>
      </c>
      <c r="E10" s="56" t="n">
        <f aca="false">E8-E9</f>
        <v>172900</v>
      </c>
      <c r="F10" s="56" t="n">
        <f aca="false">F8-F9</f>
        <v>81900</v>
      </c>
      <c r="G10" s="56" t="n">
        <f aca="false">G8-G9</f>
        <v>213800</v>
      </c>
      <c r="H10" s="56" t="n">
        <f aca="false">H8-H9</f>
        <v>110100</v>
      </c>
      <c r="I10" s="56" t="n">
        <f aca="false">I8-I9</f>
        <v>179000</v>
      </c>
      <c r="J10" s="56" t="n">
        <f aca="false">J8-J9</f>
        <v>107700</v>
      </c>
      <c r="K10" s="56" t="n">
        <f aca="false">K8-K9</f>
        <v>219900</v>
      </c>
      <c r="L10" s="56" t="n">
        <f aca="false">L8-L9</f>
        <v>115400</v>
      </c>
      <c r="M10" s="56" t="n">
        <f aca="false">M8-M9</f>
        <v>186800</v>
      </c>
      <c r="N10" s="56" t="n">
        <f aca="false">N8-N9</f>
        <v>144500</v>
      </c>
    </row>
    <row r="11" customFormat="false" ht="16.5" hidden="false" customHeight="true" outlineLevel="0" collapsed="false"/>
    <row r="12" customFormat="false" ht="21.75" hidden="false" customHeight="true" outlineLevel="0" collapsed="false">
      <c r="A12" s="4" t="s">
        <v>419</v>
      </c>
      <c r="B12" s="4"/>
      <c r="C12" s="70" t="n">
        <f aca="false">B10/12</f>
        <v>152241.666666667</v>
      </c>
      <c r="D12" s="5" t="s">
        <v>420</v>
      </c>
      <c r="E12" s="5"/>
      <c r="F12" s="5"/>
      <c r="G12" s="5"/>
      <c r="H12" s="5"/>
      <c r="I12" s="5"/>
      <c r="J12" s="5"/>
      <c r="K12" s="5"/>
      <c r="L12" s="5"/>
      <c r="M12" s="5"/>
      <c r="N12" s="5"/>
      <c r="O12" s="5"/>
      <c r="P12" s="5"/>
    </row>
    <row r="14" customFormat="false" ht="21.75" hidden="false" customHeight="true" outlineLevel="0" collapsed="false"/>
    <row r="15" customFormat="false" ht="15.75" hidden="false" customHeight="true" outlineLevel="0" collapsed="false">
      <c r="A15" s="15" t="s">
        <v>421</v>
      </c>
      <c r="B15" s="15"/>
      <c r="C15" s="15"/>
      <c r="D15" s="15"/>
      <c r="E15" s="15"/>
      <c r="F15" s="15"/>
      <c r="G15" s="15"/>
      <c r="H15" s="15"/>
      <c r="I15" s="15"/>
      <c r="J15" s="15"/>
      <c r="K15" s="15"/>
      <c r="L15" s="15"/>
      <c r="M15" s="15"/>
      <c r="N15" s="15"/>
      <c r="O15" s="15"/>
      <c r="P15" s="15"/>
    </row>
    <row r="16" customFormat="false" ht="15" hidden="false" customHeight="true" outlineLevel="0" collapsed="false">
      <c r="A16" s="29" t="s">
        <v>422</v>
      </c>
      <c r="B16" s="29" t="s">
        <v>423</v>
      </c>
      <c r="C16" s="29" t="s">
        <v>424</v>
      </c>
      <c r="D16" s="29" t="s">
        <v>425</v>
      </c>
      <c r="E16" s="29" t="s">
        <v>426</v>
      </c>
      <c r="F16" s="29" t="s">
        <v>427</v>
      </c>
      <c r="G16" s="29" t="s">
        <v>428</v>
      </c>
      <c r="H16" s="29" t="s">
        <v>429</v>
      </c>
      <c r="I16" s="29" t="s">
        <v>430</v>
      </c>
      <c r="J16" s="29" t="s">
        <v>431</v>
      </c>
    </row>
    <row r="17" customFormat="false" ht="15.75" hidden="false" customHeight="true" outlineLevel="0" collapsed="false">
      <c r="A17" s="30" t="s">
        <v>432</v>
      </c>
      <c r="B17" s="71" t="n">
        <f aca="false">'Cash Flow'!T10</f>
        <v>309000</v>
      </c>
      <c r="C17" s="72" t="n">
        <f aca="false">'Cash Flow'!T10*(1-Assumptions!$B$39)</f>
        <v>262650</v>
      </c>
      <c r="D17" s="71" t="n">
        <f aca="false">'Cash Flow'!T28</f>
        <v>68200</v>
      </c>
      <c r="E17" s="72" t="n">
        <f aca="false">'Cash Flow'!T28*(1+Assumptions!$B$40)</f>
        <v>78430</v>
      </c>
      <c r="F17" s="71" t="n">
        <f aca="false">B17-D17</f>
        <v>240800</v>
      </c>
      <c r="G17" s="72" t="n">
        <f aca="false">C17-E17</f>
        <v>184220</v>
      </c>
      <c r="H17" s="73" t="n">
        <f aca="false">'Cash Flow'!S30+F17</f>
        <v>2313700</v>
      </c>
      <c r="I17" s="73" t="n">
        <f aca="false">'Cash Flow'!S30+G17</f>
        <v>2257120</v>
      </c>
      <c r="J17" s="73" t="n">
        <f aca="false">I17-H17</f>
        <v>-56580</v>
      </c>
    </row>
    <row r="18" customFormat="false" ht="15.75" hidden="false" customHeight="true" outlineLevel="0" collapsed="false">
      <c r="A18" s="30" t="s">
        <v>433</v>
      </c>
      <c r="B18" s="71" t="n">
        <f aca="false">'Cash Flow'!U10</f>
        <v>119100</v>
      </c>
      <c r="C18" s="72" t="n">
        <f aca="false">'Cash Flow'!U10*(1-Assumptions!$B$39)</f>
        <v>101235</v>
      </c>
      <c r="D18" s="71" t="n">
        <f aca="false">'Cash Flow'!U28</f>
        <v>261100</v>
      </c>
      <c r="E18" s="72" t="n">
        <f aca="false">'Cash Flow'!U28*(1+Assumptions!$B$40)</f>
        <v>300265</v>
      </c>
      <c r="F18" s="71" t="n">
        <f aca="false">B18-D18</f>
        <v>-142000</v>
      </c>
      <c r="G18" s="72" t="n">
        <f aca="false">C18-E18</f>
        <v>-199030</v>
      </c>
      <c r="H18" s="73" t="n">
        <f aca="false">H17+F18</f>
        <v>2171700</v>
      </c>
      <c r="I18" s="73" t="n">
        <f aca="false">I17+G18</f>
        <v>2058090</v>
      </c>
      <c r="J18" s="73" t="n">
        <f aca="false">I18-H18</f>
        <v>-113610</v>
      </c>
    </row>
    <row r="19" customFormat="false" ht="15.75" hidden="false" customHeight="true" outlineLevel="0" collapsed="false">
      <c r="A19" s="30" t="s">
        <v>434</v>
      </c>
      <c r="B19" s="71" t="n">
        <f aca="false">'Cash Flow'!V10</f>
        <v>13600</v>
      </c>
      <c r="C19" s="72" t="n">
        <f aca="false">'Cash Flow'!V10*(1-Assumptions!$B$39)</f>
        <v>11560</v>
      </c>
      <c r="D19" s="71" t="n">
        <f aca="false">'Cash Flow'!V28</f>
        <v>86400</v>
      </c>
      <c r="E19" s="72" t="n">
        <f aca="false">'Cash Flow'!V28*(1+Assumptions!$B$40)</f>
        <v>99360</v>
      </c>
      <c r="F19" s="71" t="n">
        <f aca="false">B19-D19</f>
        <v>-72800</v>
      </c>
      <c r="G19" s="72" t="n">
        <f aca="false">C19-E19</f>
        <v>-87800</v>
      </c>
      <c r="H19" s="73" t="n">
        <f aca="false">H18+F19</f>
        <v>2098900</v>
      </c>
      <c r="I19" s="73" t="n">
        <f aca="false">I18+G19</f>
        <v>1970290</v>
      </c>
      <c r="J19" s="73" t="n">
        <f aca="false">I19-H19</f>
        <v>-128610</v>
      </c>
    </row>
    <row r="20" customFormat="false" ht="15.75" hidden="false" customHeight="true" outlineLevel="0" collapsed="false">
      <c r="A20" s="30" t="s">
        <v>435</v>
      </c>
      <c r="B20" s="71" t="n">
        <f aca="false">'Cash Flow'!W10</f>
        <v>229200</v>
      </c>
      <c r="C20" s="72" t="n">
        <f aca="false">'Cash Flow'!W10*(1-Assumptions!$B$39)</f>
        <v>194820</v>
      </c>
      <c r="D20" s="71" t="n">
        <f aca="false">'Cash Flow'!W28</f>
        <v>295300</v>
      </c>
      <c r="E20" s="72" t="n">
        <f aca="false">'Cash Flow'!W28*(1+Assumptions!$B$40)</f>
        <v>339595</v>
      </c>
      <c r="F20" s="71" t="n">
        <f aca="false">B20-D20</f>
        <v>-66100</v>
      </c>
      <c r="G20" s="72" t="n">
        <f aca="false">C20-E20</f>
        <v>-144775</v>
      </c>
      <c r="H20" s="73" t="n">
        <f aca="false">H19+F20</f>
        <v>2032800</v>
      </c>
      <c r="I20" s="73" t="n">
        <f aca="false">I19+G20</f>
        <v>1825515</v>
      </c>
      <c r="J20" s="73" t="n">
        <f aca="false">I20-H20</f>
        <v>-207285</v>
      </c>
    </row>
    <row r="21" customFormat="false" ht="15.75" hidden="false" customHeight="true" outlineLevel="0" collapsed="false">
      <c r="A21" s="30" t="s">
        <v>436</v>
      </c>
      <c r="B21" s="71" t="n">
        <f aca="false">'Cash Flow'!X10</f>
        <v>299200</v>
      </c>
      <c r="C21" s="72" t="n">
        <f aca="false">'Cash Flow'!X10*(1-Assumptions!$B$39)</f>
        <v>254320</v>
      </c>
      <c r="D21" s="71" t="n">
        <f aca="false">'Cash Flow'!X28</f>
        <v>97100</v>
      </c>
      <c r="E21" s="72" t="n">
        <f aca="false">'Cash Flow'!X28*(1+Assumptions!$B$40)</f>
        <v>111665</v>
      </c>
      <c r="F21" s="71" t="n">
        <f aca="false">B21-D21</f>
        <v>202100</v>
      </c>
      <c r="G21" s="72" t="n">
        <f aca="false">C21-E21</f>
        <v>142655</v>
      </c>
      <c r="H21" s="73" t="n">
        <f aca="false">H20+F21</f>
        <v>2234900</v>
      </c>
      <c r="I21" s="73" t="n">
        <f aca="false">I20+G21</f>
        <v>1968170</v>
      </c>
      <c r="J21" s="73" t="n">
        <f aca="false">I21-H21</f>
        <v>-266730</v>
      </c>
    </row>
    <row r="22" customFormat="false" ht="15.75" hidden="false" customHeight="true" outlineLevel="0" collapsed="false">
      <c r="A22" s="30" t="s">
        <v>437</v>
      </c>
      <c r="B22" s="71" t="n">
        <f aca="false">'Cash Flow'!Y10</f>
        <v>123600</v>
      </c>
      <c r="C22" s="72" t="n">
        <f aca="false">'Cash Flow'!Y10*(1-Assumptions!$B$39)</f>
        <v>105060</v>
      </c>
      <c r="D22" s="71" t="n">
        <f aca="false">'Cash Flow'!Y28</f>
        <v>267400</v>
      </c>
      <c r="E22" s="72" t="n">
        <f aca="false">'Cash Flow'!Y28*(1+Assumptions!$B$40)</f>
        <v>307510</v>
      </c>
      <c r="F22" s="71" t="n">
        <f aca="false">B22-D22</f>
        <v>-143800</v>
      </c>
      <c r="G22" s="72" t="n">
        <f aca="false">C22-E22</f>
        <v>-202450</v>
      </c>
      <c r="H22" s="73" t="n">
        <f aca="false">H21+F22</f>
        <v>2091100</v>
      </c>
      <c r="I22" s="73" t="n">
        <f aca="false">I21+G22</f>
        <v>1765720</v>
      </c>
      <c r="J22" s="73" t="n">
        <f aca="false">I22-H22</f>
        <v>-325380</v>
      </c>
    </row>
    <row r="23" customFormat="false" ht="15.75" hidden="false" customHeight="true" outlineLevel="0" collapsed="false">
      <c r="A23" s="30" t="s">
        <v>438</v>
      </c>
      <c r="B23" s="71" t="n">
        <f aca="false">'Cash Flow'!Z10</f>
        <v>14100</v>
      </c>
      <c r="C23" s="72" t="n">
        <f aca="false">'Cash Flow'!Z10*(1-Assumptions!$B$39)</f>
        <v>11985</v>
      </c>
      <c r="D23" s="71" t="n">
        <f aca="false">'Cash Flow'!Z28</f>
        <v>69700</v>
      </c>
      <c r="E23" s="72" t="n">
        <f aca="false">'Cash Flow'!Z28*(1+Assumptions!$B$40)</f>
        <v>80155</v>
      </c>
      <c r="F23" s="71" t="n">
        <f aca="false">B23-D23</f>
        <v>-55600</v>
      </c>
      <c r="G23" s="72" t="n">
        <f aca="false">C23-E23</f>
        <v>-68170</v>
      </c>
      <c r="H23" s="73" t="n">
        <f aca="false">H22+F23</f>
        <v>2035500</v>
      </c>
      <c r="I23" s="73" t="n">
        <f aca="false">I22+G23</f>
        <v>1697550</v>
      </c>
      <c r="J23" s="73" t="n">
        <f aca="false">I23-H23</f>
        <v>-337950</v>
      </c>
    </row>
    <row r="24" customFormat="false" ht="15.75" hidden="false" customHeight="true" outlineLevel="0" collapsed="false">
      <c r="A24" s="30" t="s">
        <v>439</v>
      </c>
      <c r="B24" s="71" t="n">
        <f aca="false">'Cash Flow'!AA10</f>
        <v>225900</v>
      </c>
      <c r="C24" s="72" t="n">
        <f aca="false">'Cash Flow'!AA10*(1-Assumptions!$B$39)</f>
        <v>192015</v>
      </c>
      <c r="D24" s="71" t="n">
        <f aca="false">'Cash Flow'!AA28</f>
        <v>302500</v>
      </c>
      <c r="E24" s="72" t="n">
        <f aca="false">'Cash Flow'!AA28*(1+Assumptions!$B$40)</f>
        <v>347875</v>
      </c>
      <c r="F24" s="71" t="n">
        <f aca="false">B24-D24</f>
        <v>-76600</v>
      </c>
      <c r="G24" s="72" t="n">
        <f aca="false">C24-E24</f>
        <v>-155860</v>
      </c>
      <c r="H24" s="73" t="n">
        <f aca="false">H23+F24</f>
        <v>1958900</v>
      </c>
      <c r="I24" s="73" t="n">
        <f aca="false">I23+G24</f>
        <v>1541690</v>
      </c>
      <c r="J24" s="73" t="n">
        <f aca="false">I24-H24</f>
        <v>-417210</v>
      </c>
    </row>
    <row r="25" customFormat="false" ht="15.75" hidden="false" customHeight="true" outlineLevel="0" collapsed="false">
      <c r="A25" s="30" t="s">
        <v>440</v>
      </c>
      <c r="B25" s="71" t="n">
        <f aca="false">'Cash Flow'!AB10</f>
        <v>323500</v>
      </c>
      <c r="C25" s="72" t="n">
        <f aca="false">'Cash Flow'!AB10*(1-Assumptions!$B$39)</f>
        <v>274975</v>
      </c>
      <c r="D25" s="71" t="n">
        <f aca="false">'Cash Flow'!AB28</f>
        <v>89400</v>
      </c>
      <c r="E25" s="72" t="n">
        <f aca="false">'Cash Flow'!AB28*(1+Assumptions!$B$40)</f>
        <v>102810</v>
      </c>
      <c r="F25" s="71" t="n">
        <f aca="false">B25-D25</f>
        <v>234100</v>
      </c>
      <c r="G25" s="72" t="n">
        <f aca="false">C25-E25</f>
        <v>172165</v>
      </c>
      <c r="H25" s="73" t="n">
        <f aca="false">H24+F25</f>
        <v>2193000</v>
      </c>
      <c r="I25" s="73" t="n">
        <f aca="false">I24+G25</f>
        <v>1713855</v>
      </c>
      <c r="J25" s="73" t="n">
        <f aca="false">I25-H25</f>
        <v>-479145</v>
      </c>
    </row>
    <row r="26" customFormat="false" ht="15.75" hidden="false" customHeight="true" outlineLevel="0" collapsed="false"/>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6.5" hidden="false" customHeight="true" outlineLevel="0" collapsed="false"/>
    <row r="32" customFormat="false" ht="16.5" hidden="false" customHeight="true" outlineLevel="0" collapsed="false"/>
  </sheetData>
  <mergeCells count="5">
    <mergeCell ref="A1:P1"/>
    <mergeCell ref="A2:P2"/>
    <mergeCell ref="A12:B12"/>
    <mergeCell ref="D12:P12"/>
    <mergeCell ref="A15:P1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L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7" min="2" style="1" width="22"/>
    <col collapsed="false" customWidth="true" hidden="false" outlineLevel="0" max="8" min="8" style="1" width="3"/>
    <col collapsed="false" customWidth="true" hidden="false" outlineLevel="0" max="9" min="9" style="1" width="10"/>
    <col collapsed="false" customWidth="true" hidden="false" outlineLevel="0" max="12" min="10" style="1" width="16"/>
    <col collapsed="false" customWidth="true" hidden="false" outlineLevel="0" max="13" min="13" style="1" width="8"/>
  </cols>
  <sheetData>
    <row r="1" customFormat="false" ht="27.75" hidden="false" customHeight="true" outlineLevel="0" collapsed="false">
      <c r="B1" s="2" t="s">
        <v>441</v>
      </c>
      <c r="C1" s="2"/>
      <c r="D1" s="2"/>
      <c r="E1" s="2"/>
      <c r="F1" s="2"/>
      <c r="G1" s="2"/>
    </row>
    <row r="2" customFormat="false" ht="21.75" hidden="false" customHeight="true" outlineLevel="0" collapsed="false">
      <c r="B2" s="74" t="str">
        <f aca="false">" Reporting Date: "&amp;TEXT(Assumptions!B7,"DD MMM YYYY")&amp;"   ·   Actual through Week "&amp;Assumptions!B8&amp;"   ·   Forecast from Week "&amp;(Assumptions!B8+1)</f>
        <v> Reporting Date: 07 May 2026   ·   Actual through Week 17   ·   Forecast from Week 18</v>
      </c>
      <c r="C2" s="74"/>
      <c r="D2" s="74"/>
      <c r="E2" s="74"/>
      <c r="F2" s="74"/>
      <c r="G2" s="74"/>
    </row>
    <row r="4" customFormat="false" ht="13.5" hidden="false" customHeight="true" outlineLevel="0" collapsed="false">
      <c r="B4" s="29" t="s">
        <v>442</v>
      </c>
      <c r="C4" s="29" t="s">
        <v>443</v>
      </c>
      <c r="D4" s="29" t="s">
        <v>375</v>
      </c>
      <c r="E4" s="29" t="s">
        <v>393</v>
      </c>
      <c r="F4" s="29" t="s">
        <v>444</v>
      </c>
      <c r="G4" s="29" t="s">
        <v>445</v>
      </c>
    </row>
    <row r="5" customFormat="false" ht="25.5" hidden="false" customHeight="true" outlineLevel="0" collapsed="false">
      <c r="B5" s="75" t="n">
        <f aca="false">Assumptions!B9</f>
        <v>500000</v>
      </c>
      <c r="C5" s="75" t="n">
        <f aca="false">'Cash Flow'!AB30</f>
        <v>2193000</v>
      </c>
      <c r="D5" s="75" t="n">
        <f aca="false">'Cash Flow'!B10</f>
        <v>6092600</v>
      </c>
      <c r="E5" s="75" t="n">
        <f aca="false">'Cash Flow'!B28</f>
        <v>4399600</v>
      </c>
      <c r="F5" s="75" t="n">
        <f aca="false">'Cash Flow'!B29</f>
        <v>1693000</v>
      </c>
      <c r="G5" s="75" t="n">
        <f aca="false">'Cash Flow'!B28/26</f>
        <v>169215.384615385</v>
      </c>
    </row>
    <row r="6" customFormat="false" ht="6" hidden="false" customHeight="true" outlineLevel="0" collapsed="false"/>
    <row r="7" customFormat="false" ht="13.5" hidden="false" customHeight="true" outlineLevel="0" collapsed="false">
      <c r="B7" s="76" t="s">
        <v>446</v>
      </c>
      <c r="C7" s="76" t="s">
        <v>447</v>
      </c>
      <c r="D7" s="76" t="s">
        <v>448</v>
      </c>
      <c r="E7" s="76" t="s">
        <v>449</v>
      </c>
      <c r="F7" s="76" t="s">
        <v>450</v>
      </c>
      <c r="G7" s="76" t="s">
        <v>451</v>
      </c>
    </row>
    <row r="8" customFormat="false" ht="25.5" hidden="false" customHeight="true" outlineLevel="0" collapsed="false">
      <c r="B8" s="77" t="n">
        <f aca="false">'Stress Test'!B8</f>
        <v>1826900</v>
      </c>
      <c r="C8" s="77" t="n">
        <f aca="false">'Stress Test'!B9</f>
        <v>0</v>
      </c>
      <c r="D8" s="77" t="n">
        <f aca="false">'Stress Test'!B10</f>
        <v>1826900</v>
      </c>
      <c r="E8" s="77" t="n">
        <f aca="false">'Stress Test'!C12</f>
        <v>152241.666666667</v>
      </c>
      <c r="F8" s="77" t="n">
        <f aca="false">'Stress Test'!H25</f>
        <v>2193000</v>
      </c>
      <c r="G8" s="77" t="n">
        <f aca="false">'Stress Test'!I25</f>
        <v>1713855</v>
      </c>
    </row>
    <row r="9" customFormat="false" ht="6" hidden="false" customHeight="true" outlineLevel="0" collapsed="false"/>
    <row r="10" customFormat="false" ht="15.75" hidden="false" customHeight="true" outlineLevel="0" collapsed="false">
      <c r="B10" s="4" t="s">
        <v>452</v>
      </c>
      <c r="C10" s="4"/>
      <c r="D10" s="4"/>
      <c r="E10" s="4"/>
      <c r="F10" s="4"/>
      <c r="G10" s="4"/>
    </row>
    <row r="11" customFormat="false" ht="13.5" hidden="false" customHeight="true" outlineLevel="0" collapsed="false">
      <c r="B11" s="29" t="s">
        <v>453</v>
      </c>
      <c r="C11" s="29" t="s">
        <v>454</v>
      </c>
      <c r="D11" s="29" t="s">
        <v>455</v>
      </c>
      <c r="E11" s="29" t="s">
        <v>40</v>
      </c>
      <c r="F11" s="29" t="s">
        <v>456</v>
      </c>
      <c r="G11" s="29" t="s">
        <v>457</v>
      </c>
    </row>
    <row r="12" customFormat="false" ht="16.5" hidden="false" customHeight="true" outlineLevel="0" collapsed="false">
      <c r="B12" s="16" t="s">
        <v>458</v>
      </c>
      <c r="C12" s="49" t="n">
        <f aca="false">SUMIFS('AP Data (NetSuite)'!H2:H97,'AP Data (NetSuite)'!E2:E97,"*Payroll*",'AP Data (NetSuite)'!L2:L97,"&gt;8")</f>
        <v>660000</v>
      </c>
      <c r="D12" s="49" t="n">
        <f aca="false">C12/4</f>
        <v>165000</v>
      </c>
      <c r="E12" s="30" t="s">
        <v>288</v>
      </c>
      <c r="F12" s="47" t="n">
        <f aca="false">Assumptions!$B$22</f>
        <v>165000</v>
      </c>
      <c r="G12" s="18" t="s">
        <v>459</v>
      </c>
    </row>
    <row r="13" customFormat="false" ht="16.5" hidden="false" customHeight="true" outlineLevel="0" collapsed="false">
      <c r="B13" s="16" t="s">
        <v>460</v>
      </c>
      <c r="C13" s="49" t="n">
        <f aca="false">SUMIFS('AP Data (NetSuite)'!H2:H97,'AP Data (NetSuite)'!E2:E97,"*Tax*",'AP Data (NetSuite)'!L2:L97,"&gt;8")</f>
        <v>42600</v>
      </c>
      <c r="D13" s="49" t="n">
        <f aca="false">C13/4</f>
        <v>10650</v>
      </c>
      <c r="E13" s="30" t="s">
        <v>288</v>
      </c>
      <c r="F13" s="47" t="n">
        <f aca="false">Assumptions!$B$23</f>
        <v>14200</v>
      </c>
      <c r="G13" s="18" t="s">
        <v>461</v>
      </c>
    </row>
    <row r="14" customFormat="false" ht="16.5" hidden="false" customHeight="true" outlineLevel="0" collapsed="false">
      <c r="B14" s="16" t="s">
        <v>462</v>
      </c>
      <c r="C14" s="49" t="n">
        <f aca="false">SUMIFS('AP Data (NetSuite)'!H2:H97,'AP Data (NetSuite)'!E2:E97,"*Loan*",'AP Data (NetSuite)'!L2:L97,"&gt;8")</f>
        <v>29400</v>
      </c>
      <c r="D14" s="49" t="n">
        <f aca="false">C14/4</f>
        <v>7350</v>
      </c>
      <c r="E14" s="30" t="s">
        <v>288</v>
      </c>
      <c r="F14" s="47" t="n">
        <f aca="false">Assumptions!$B$25</f>
        <v>9800</v>
      </c>
      <c r="G14" s="18" t="s">
        <v>463</v>
      </c>
    </row>
    <row r="15" customFormat="false" ht="16.5" hidden="false" customHeight="true" outlineLevel="0" collapsed="false">
      <c r="B15" s="16" t="s">
        <v>464</v>
      </c>
      <c r="C15" s="49" t="n">
        <f aca="false">SUMIFS('AP Data (NetSuite)'!H2:H97,'AP Data (NetSuite)'!E2:E97,"*Rent*",'AP Data (NetSuite)'!L2:L97,"&gt;8")</f>
        <v>55500</v>
      </c>
      <c r="D15" s="49" t="n">
        <f aca="false">C15/4</f>
        <v>13875</v>
      </c>
      <c r="E15" s="30" t="s">
        <v>288</v>
      </c>
      <c r="F15" s="47" t="n">
        <f aca="false">Assumptions!$B$26</f>
        <v>18500</v>
      </c>
      <c r="G15" s="18" t="s">
        <v>465</v>
      </c>
    </row>
    <row r="16" customFormat="false" ht="16.5" hidden="false" customHeight="true" outlineLevel="0" collapsed="false">
      <c r="B16" s="16" t="s">
        <v>466</v>
      </c>
      <c r="C16" s="49" t="n">
        <f aca="false">SUMIFS('AP Data (NetSuite)'!H2:H97,'AP Data (NetSuite)'!E2:E97,"*Materials*",'AP Data (NetSuite)'!L2:L97,"&gt;8")</f>
        <v>599500</v>
      </c>
      <c r="D16" s="49" t="n">
        <f aca="false">C16/4</f>
        <v>149875</v>
      </c>
      <c r="E16" s="30" t="s">
        <v>298</v>
      </c>
      <c r="F16" s="47" t="n">
        <f aca="false">Assumptions!$B$27+Assumptions!$B$28</f>
        <v>80400</v>
      </c>
      <c r="G16" s="18" t="s">
        <v>467</v>
      </c>
    </row>
    <row r="17" customFormat="false" ht="16.5" hidden="false" customHeight="true" outlineLevel="0" collapsed="false">
      <c r="B17" s="16" t="s">
        <v>468</v>
      </c>
      <c r="C17" s="49" t="n">
        <f aca="false">SUMIFS('AP Data (NetSuite)'!H2:H97,'AP Data (NetSuite)'!E2:E97,"*Services*",'AP Data (NetSuite)'!L2:L97,"&gt;8")</f>
        <v>106000</v>
      </c>
      <c r="D17" s="49" t="n">
        <f aca="false">C17/4</f>
        <v>26500</v>
      </c>
      <c r="E17" s="30" t="s">
        <v>298</v>
      </c>
      <c r="F17" s="47" t="n">
        <f aca="false">Assumptions!$B$29+Assumptions!$B$30+Assumptions!$B$31</f>
        <v>35300</v>
      </c>
      <c r="G17" s="18" t="s">
        <v>469</v>
      </c>
    </row>
    <row r="18" customFormat="false" ht="16.5" hidden="false" customHeight="true" outlineLevel="0" collapsed="false">
      <c r="B18" s="16" t="s">
        <v>470</v>
      </c>
      <c r="C18" s="49" t="n">
        <f aca="false">SUMIFS('AP Data (NetSuite)'!H2:H97,'AP Data (NetSuite)'!E2:E97,"*Logistics*",'AP Data (NetSuite)'!L2:L97,"&gt;8")</f>
        <v>169200</v>
      </c>
      <c r="D18" s="49" t="n">
        <f aca="false">C18/4</f>
        <v>42300</v>
      </c>
      <c r="E18" s="30" t="s">
        <v>298</v>
      </c>
      <c r="F18" s="47" t="n">
        <f aca="false">Assumptions!$B$32</f>
        <v>19000</v>
      </c>
      <c r="G18" s="18" t="s">
        <v>471</v>
      </c>
    </row>
    <row r="19" customFormat="false" ht="16.5" hidden="false" customHeight="true" outlineLevel="0" collapsed="false">
      <c r="B19" s="16" t="s">
        <v>213</v>
      </c>
      <c r="C19" s="49" t="n">
        <f aca="false">SUMIFS('AP Data (NetSuite)'!H2:H97,'AP Data (NetSuite)'!E2:E97,"*Utilities*",'AP Data (NetSuite)'!L2:L97,"&gt;8")</f>
        <v>18600</v>
      </c>
      <c r="D19" s="49" t="n">
        <f aca="false">C19/4</f>
        <v>4650</v>
      </c>
      <c r="E19" s="30" t="s">
        <v>298</v>
      </c>
      <c r="F19" s="47" t="n">
        <f aca="false">Assumptions!$B$33</f>
        <v>6200</v>
      </c>
      <c r="G19" s="18" t="s">
        <v>472</v>
      </c>
    </row>
    <row r="20" customFormat="false" ht="13.5" hidden="false" customHeight="true" outlineLevel="0" collapsed="false"/>
    <row r="21" customFormat="false" ht="15.75" hidden="false" customHeight="true" outlineLevel="0" collapsed="false">
      <c r="B21" s="4" t="s">
        <v>473</v>
      </c>
      <c r="C21" s="4"/>
      <c r="D21" s="4"/>
      <c r="E21" s="4"/>
      <c r="F21" s="4"/>
      <c r="G21" s="4"/>
    </row>
    <row r="22" customFormat="false" ht="13.5" hidden="false" customHeight="true" outlineLevel="0" collapsed="false">
      <c r="B22" s="29" t="s">
        <v>474</v>
      </c>
      <c r="C22" s="29" t="s">
        <v>475</v>
      </c>
      <c r="D22" s="29" t="s">
        <v>455</v>
      </c>
      <c r="E22" s="29" t="s">
        <v>476</v>
      </c>
      <c r="F22" s="29" t="s">
        <v>477</v>
      </c>
      <c r="G22" s="29" t="s">
        <v>478</v>
      </c>
    </row>
    <row r="23" customFormat="false" ht="16.5" hidden="false" customHeight="true" outlineLevel="0" collapsed="false">
      <c r="B23" s="16" t="s">
        <v>479</v>
      </c>
      <c r="C23" s="49" t="n">
        <f aca="false">SUMIFS('AR Data (NetSuite)'!H2:H63,'AR Data (NetSuite)'!E2:E63,"*Seg A*",'AR Data (NetSuite)'!L2:L63,"&gt;8")</f>
        <v>932900</v>
      </c>
      <c r="D23" s="49" t="n">
        <f aca="false">C23/4</f>
        <v>233225</v>
      </c>
      <c r="E23" s="30" t="s">
        <v>480</v>
      </c>
      <c r="F23" s="78" t="n">
        <f aca="false">D23*4</f>
        <v>932900</v>
      </c>
      <c r="G23" s="18" t="s">
        <v>481</v>
      </c>
    </row>
    <row r="24" customFormat="false" ht="16.5" hidden="false" customHeight="true" outlineLevel="0" collapsed="false">
      <c r="B24" s="16" t="s">
        <v>482</v>
      </c>
      <c r="C24" s="49" t="n">
        <f aca="false">SUMIFS('AR Data (NetSuite)'!H2:H63,'AR Data (NetSuite)'!E2:E63,"*Seg B*",'AR Data (NetSuite)'!L2:L63,"&gt;8")</f>
        <v>560700</v>
      </c>
      <c r="D24" s="49" t="n">
        <f aca="false">C24/4</f>
        <v>140175</v>
      </c>
      <c r="E24" s="30" t="s">
        <v>483</v>
      </c>
      <c r="F24" s="78" t="n">
        <f aca="false">D24*4</f>
        <v>560700</v>
      </c>
      <c r="G24" s="18" t="s">
        <v>484</v>
      </c>
    </row>
    <row r="25" customFormat="false" ht="16.5" hidden="false" customHeight="true" outlineLevel="0" collapsed="false">
      <c r="B25" s="16" t="s">
        <v>485</v>
      </c>
      <c r="C25" s="49" t="n">
        <f aca="false">SUMIFS('AR Data (NetSuite)'!H2:H63,'AR Data (NetSuite)'!E2:E63,"*Seg C*",'AR Data (NetSuite)'!L2:L63,"&gt;8")</f>
        <v>104900</v>
      </c>
      <c r="D25" s="49" t="n">
        <f aca="false">C25/4</f>
        <v>26225</v>
      </c>
      <c r="E25" s="30" t="s">
        <v>486</v>
      </c>
      <c r="F25" s="78" t="n">
        <f aca="false">D25*4</f>
        <v>104900</v>
      </c>
      <c r="G25" s="18" t="s">
        <v>487</v>
      </c>
    </row>
    <row r="26" customFormat="false" ht="15.75" hidden="false" customHeight="true" outlineLevel="0" collapsed="false"/>
    <row r="27" customFormat="false" ht="13.5" hidden="false" customHeight="true" outlineLevel="0" collapsed="false"/>
    <row r="28" customFormat="false" ht="13.5" hidden="false" customHeight="true" outlineLevel="0" collapsed="false">
      <c r="I28" s="29" t="s">
        <v>488</v>
      </c>
      <c r="J28" s="29" t="s">
        <v>489</v>
      </c>
      <c r="K28" s="29" t="s">
        <v>490</v>
      </c>
      <c r="L28" s="29" t="s">
        <v>491</v>
      </c>
    </row>
    <row r="29" customFormat="false" ht="12.75" hidden="false" customHeight="true" outlineLevel="0" collapsed="false">
      <c r="I29" s="79" t="s">
        <v>318</v>
      </c>
      <c r="J29" s="80" t="n">
        <f aca="false">'Cash Flow'!C30</f>
        <v>780000</v>
      </c>
      <c r="K29" s="80" t="n">
        <f aca="false">'Cash Flow'!C32</f>
        <v>780000</v>
      </c>
      <c r="L29" s="80" t="n">
        <f aca="false">'Cash Flow'!C33</f>
        <v>780000</v>
      </c>
    </row>
    <row r="30" customFormat="false" ht="12.75" hidden="false" customHeight="true" outlineLevel="0" collapsed="false">
      <c r="I30" s="79" t="s">
        <v>319</v>
      </c>
      <c r="J30" s="80" t="n">
        <f aca="false">'Cash Flow'!D30</f>
        <v>1162700</v>
      </c>
      <c r="K30" s="80" t="n">
        <f aca="false">'Cash Flow'!D32</f>
        <v>1162700</v>
      </c>
      <c r="L30" s="80" t="n">
        <f aca="false">'Cash Flow'!D33</f>
        <v>1162700</v>
      </c>
    </row>
    <row r="31" customFormat="false" ht="12.75" hidden="false" customHeight="true" outlineLevel="0" collapsed="false">
      <c r="I31" s="79" t="s">
        <v>320</v>
      </c>
      <c r="J31" s="80" t="n">
        <f aca="false">'Cash Flow'!E30</f>
        <v>1496400</v>
      </c>
      <c r="K31" s="80" t="n">
        <f aca="false">'Cash Flow'!E32</f>
        <v>1496400</v>
      </c>
      <c r="L31" s="80" t="n">
        <f aca="false">'Cash Flow'!E33</f>
        <v>1496400</v>
      </c>
    </row>
    <row r="32" customFormat="false" ht="12.75" hidden="false" customHeight="true" outlineLevel="0" collapsed="false">
      <c r="I32" s="79" t="s">
        <v>321</v>
      </c>
      <c r="J32" s="80" t="n">
        <f aca="false">'Cash Flow'!F30</f>
        <v>1883500</v>
      </c>
      <c r="K32" s="80" t="n">
        <f aca="false">'Cash Flow'!F32</f>
        <v>1883500</v>
      </c>
      <c r="L32" s="80" t="n">
        <f aca="false">'Cash Flow'!F33</f>
        <v>1883500</v>
      </c>
    </row>
    <row r="33" customFormat="false" ht="12.75" hidden="false" customHeight="true" outlineLevel="0" collapsed="false">
      <c r="I33" s="79" t="s">
        <v>322</v>
      </c>
      <c r="J33" s="80" t="n">
        <f aca="false">'Cash Flow'!G30</f>
        <v>1812500</v>
      </c>
      <c r="K33" s="80" t="n">
        <f aca="false">'Cash Flow'!G32</f>
        <v>1812500</v>
      </c>
      <c r="L33" s="80" t="n">
        <f aca="false">'Cash Flow'!G33</f>
        <v>1812500</v>
      </c>
    </row>
    <row r="34" customFormat="false" ht="12.75" hidden="false" customHeight="true" outlineLevel="0" collapsed="false">
      <c r="I34" s="79" t="s">
        <v>323</v>
      </c>
      <c r="J34" s="80" t="n">
        <f aca="false">'Cash Flow'!H30</f>
        <v>1819400</v>
      </c>
      <c r="K34" s="80" t="n">
        <f aca="false">'Cash Flow'!H32</f>
        <v>1819400</v>
      </c>
      <c r="L34" s="80" t="n">
        <f aca="false">'Cash Flow'!H33</f>
        <v>1819400</v>
      </c>
    </row>
    <row r="35" customFormat="false" ht="12.75" hidden="false" customHeight="true" outlineLevel="0" collapsed="false">
      <c r="I35" s="79" t="s">
        <v>324</v>
      </c>
      <c r="J35" s="80" t="n">
        <f aca="false">'Cash Flow'!I30</f>
        <v>1788600</v>
      </c>
      <c r="K35" s="80" t="n">
        <f aca="false">'Cash Flow'!I32</f>
        <v>1788600</v>
      </c>
      <c r="L35" s="80" t="n">
        <f aca="false">'Cash Flow'!I33</f>
        <v>1788600</v>
      </c>
    </row>
    <row r="36" customFormat="false" ht="12.75" hidden="false" customHeight="true" outlineLevel="0" collapsed="false">
      <c r="I36" s="79" t="s">
        <v>325</v>
      </c>
      <c r="J36" s="80" t="n">
        <f aca="false">'Cash Flow'!J30</f>
        <v>2176600</v>
      </c>
      <c r="K36" s="80" t="n">
        <f aca="false">'Cash Flow'!J32</f>
        <v>2176600</v>
      </c>
      <c r="L36" s="80" t="n">
        <f aca="false">'Cash Flow'!J33</f>
        <v>2176600</v>
      </c>
    </row>
    <row r="37" customFormat="false" ht="12.75" hidden="false" customHeight="true" outlineLevel="0" collapsed="false">
      <c r="I37" s="79" t="s">
        <v>326</v>
      </c>
      <c r="J37" s="80" t="n">
        <f aca="false">'Cash Flow'!K30</f>
        <v>2177400</v>
      </c>
      <c r="K37" s="80" t="n">
        <f aca="false">'Cash Flow'!K32</f>
        <v>2177400</v>
      </c>
      <c r="L37" s="80" t="n">
        <f aca="false">'Cash Flow'!K33</f>
        <v>2177400</v>
      </c>
    </row>
    <row r="38" customFormat="false" ht="12.75" hidden="false" customHeight="true" outlineLevel="0" collapsed="false">
      <c r="I38" s="79" t="s">
        <v>327</v>
      </c>
      <c r="J38" s="80" t="n">
        <f aca="false">'Cash Flow'!L30</f>
        <v>2420600</v>
      </c>
      <c r="K38" s="80" t="n">
        <f aca="false">'Cash Flow'!L32</f>
        <v>2420600</v>
      </c>
      <c r="L38" s="80" t="n">
        <f aca="false">'Cash Flow'!L33</f>
        <v>2420600</v>
      </c>
    </row>
    <row r="39" customFormat="false" ht="12.75" hidden="false" customHeight="true" outlineLevel="0" collapsed="false">
      <c r="I39" s="79" t="s">
        <v>328</v>
      </c>
      <c r="J39" s="80" t="n">
        <f aca="false">'Cash Flow'!M30</f>
        <v>2233800</v>
      </c>
      <c r="K39" s="80" t="n">
        <f aca="false">'Cash Flow'!M32</f>
        <v>2233800</v>
      </c>
      <c r="L39" s="80" t="n">
        <f aca="false">'Cash Flow'!M33</f>
        <v>2233800</v>
      </c>
    </row>
    <row r="40" customFormat="false" ht="12.75" hidden="false" customHeight="true" outlineLevel="0" collapsed="false">
      <c r="I40" s="79" t="s">
        <v>329</v>
      </c>
      <c r="J40" s="80" t="n">
        <f aca="false">'Cash Flow'!N30</f>
        <v>2172500</v>
      </c>
      <c r="K40" s="80" t="n">
        <f aca="false">'Cash Flow'!N32</f>
        <v>2172500</v>
      </c>
      <c r="L40" s="80" t="n">
        <f aca="false">'Cash Flow'!N33</f>
        <v>2172500</v>
      </c>
    </row>
    <row r="41" customFormat="false" ht="12.75" hidden="false" customHeight="true" outlineLevel="0" collapsed="false">
      <c r="I41" s="79" t="s">
        <v>330</v>
      </c>
      <c r="J41" s="80" t="n">
        <f aca="false">'Cash Flow'!O30</f>
        <v>2174500</v>
      </c>
      <c r="K41" s="80" t="n">
        <f aca="false">'Cash Flow'!O32</f>
        <v>2174500</v>
      </c>
      <c r="L41" s="80" t="n">
        <f aca="false">'Cash Flow'!O33</f>
        <v>2174500</v>
      </c>
    </row>
    <row r="42" customFormat="false" ht="12.75" hidden="false" customHeight="true" outlineLevel="0" collapsed="false">
      <c r="I42" s="79" t="s">
        <v>331</v>
      </c>
      <c r="J42" s="80" t="n">
        <f aca="false">'Cash Flow'!P30</f>
        <v>2337700</v>
      </c>
      <c r="K42" s="80" t="n">
        <f aca="false">'Cash Flow'!P32</f>
        <v>2337700</v>
      </c>
      <c r="L42" s="80" t="n">
        <f aca="false">'Cash Flow'!P33</f>
        <v>2337700</v>
      </c>
    </row>
    <row r="43" customFormat="false" ht="12.75" hidden="false" customHeight="true" outlineLevel="0" collapsed="false">
      <c r="I43" s="79" t="s">
        <v>332</v>
      </c>
      <c r="J43" s="80" t="n">
        <f aca="false">'Cash Flow'!Q30</f>
        <v>2151800</v>
      </c>
      <c r="K43" s="80" t="n">
        <f aca="false">'Cash Flow'!Q32</f>
        <v>2151800</v>
      </c>
      <c r="L43" s="80" t="n">
        <f aca="false">'Cash Flow'!Q33</f>
        <v>2151800</v>
      </c>
    </row>
    <row r="44" customFormat="false" ht="12.75" hidden="false" customHeight="true" outlineLevel="0" collapsed="false">
      <c r="I44" s="79" t="s">
        <v>333</v>
      </c>
      <c r="J44" s="80" t="n">
        <f aca="false">'Cash Flow'!R30</f>
        <v>2124700</v>
      </c>
      <c r="K44" s="80" t="n">
        <f aca="false">'Cash Flow'!R32</f>
        <v>2124700</v>
      </c>
      <c r="L44" s="80" t="n">
        <f aca="false">'Cash Flow'!R33</f>
        <v>2124700</v>
      </c>
    </row>
    <row r="45" customFormat="false" ht="12.75" hidden="false" customHeight="true" outlineLevel="0" collapsed="false">
      <c r="I45" s="79" t="s">
        <v>334</v>
      </c>
      <c r="J45" s="80" t="n">
        <f aca="false">'Cash Flow'!S30</f>
        <v>2072900</v>
      </c>
      <c r="K45" s="80" t="n">
        <f aca="false">'Cash Flow'!S32</f>
        <v>2072900</v>
      </c>
      <c r="L45" s="80" t="n">
        <f aca="false">'Cash Flow'!S33</f>
        <v>2072900</v>
      </c>
    </row>
    <row r="46" customFormat="false" ht="12.75" hidden="false" customHeight="true" outlineLevel="0" collapsed="false">
      <c r="I46" s="79" t="s">
        <v>335</v>
      </c>
      <c r="J46" s="80" t="n">
        <f aca="false">'Cash Flow'!T30</f>
        <v>2313700</v>
      </c>
      <c r="K46" s="80" t="n">
        <f aca="false">'Cash Flow'!T32</f>
        <v>2366870</v>
      </c>
      <c r="L46" s="80" t="n">
        <f aca="false">'Cash Flow'!T33</f>
        <v>2257120</v>
      </c>
    </row>
    <row r="47" customFormat="false" ht="12.75" hidden="false" customHeight="true" outlineLevel="0" collapsed="false">
      <c r="I47" s="79" t="s">
        <v>336</v>
      </c>
      <c r="J47" s="80" t="n">
        <f aca="false">'Cash Flow'!U30</f>
        <v>2171700</v>
      </c>
      <c r="K47" s="80" t="n">
        <f aca="false">'Cash Flow'!U32</f>
        <v>2268845</v>
      </c>
      <c r="L47" s="80" t="n">
        <f aca="false">'Cash Flow'!U33</f>
        <v>2058090</v>
      </c>
    </row>
    <row r="48" customFormat="false" ht="12.75" hidden="false" customHeight="true" outlineLevel="0" collapsed="false">
      <c r="I48" s="79" t="s">
        <v>337</v>
      </c>
      <c r="J48" s="80" t="n">
        <f aca="false">'Cash Flow'!V30</f>
        <v>2098900</v>
      </c>
      <c r="K48" s="80" t="n">
        <f aca="false">'Cash Flow'!V32</f>
        <v>2206725</v>
      </c>
      <c r="L48" s="80" t="n">
        <f aca="false">'Cash Flow'!V33</f>
        <v>1970290</v>
      </c>
    </row>
    <row r="49" customFormat="false" ht="12.75" hidden="false" customHeight="true" outlineLevel="0" collapsed="false">
      <c r="I49" s="79" t="s">
        <v>338</v>
      </c>
      <c r="J49" s="80" t="n">
        <f aca="false">'Cash Flow'!W30</f>
        <v>2032800</v>
      </c>
      <c r="K49" s="80" t="n">
        <f aca="false">'Cash Flow'!W32</f>
        <v>2204535</v>
      </c>
      <c r="L49" s="80" t="n">
        <f aca="false">'Cash Flow'!W33</f>
        <v>1825515</v>
      </c>
    </row>
    <row r="50" customFormat="false" ht="12.75" hidden="false" customHeight="true" outlineLevel="0" collapsed="false">
      <c r="I50" s="79" t="s">
        <v>339</v>
      </c>
      <c r="J50" s="80" t="n">
        <f aca="false">'Cash Flow'!X30</f>
        <v>2234900</v>
      </c>
      <c r="K50" s="80" t="n">
        <f aca="false">'Cash Flow'!X32</f>
        <v>2461225</v>
      </c>
      <c r="L50" s="80" t="n">
        <f aca="false">'Cash Flow'!X33</f>
        <v>1968170</v>
      </c>
    </row>
    <row r="51" customFormat="false" ht="12.75" hidden="false" customHeight="true" outlineLevel="0" collapsed="false">
      <c r="I51" s="79" t="s">
        <v>340</v>
      </c>
      <c r="J51" s="80" t="n">
        <f aca="false">'Cash Flow'!Y30</f>
        <v>2091100</v>
      </c>
      <c r="K51" s="80" t="n">
        <f aca="false">'Cash Flow'!Y32</f>
        <v>2362705</v>
      </c>
      <c r="L51" s="80" t="n">
        <f aca="false">'Cash Flow'!Y33</f>
        <v>1765720</v>
      </c>
    </row>
    <row r="52" customFormat="false" ht="12.75" hidden="false" customHeight="true" outlineLevel="0" collapsed="false">
      <c r="I52" s="79" t="s">
        <v>341</v>
      </c>
      <c r="J52" s="80" t="n">
        <f aca="false">'Cash Flow'!Z30</f>
        <v>2035500</v>
      </c>
      <c r="K52" s="80" t="n">
        <f aca="false">'Cash Flow'!Z32</f>
        <v>2316190</v>
      </c>
      <c r="L52" s="80" t="n">
        <f aca="false">'Cash Flow'!Z33</f>
        <v>1697550</v>
      </c>
    </row>
    <row r="53" customFormat="false" ht="12.75" hidden="false" customHeight="true" outlineLevel="0" collapsed="false">
      <c r="I53" s="79" t="s">
        <v>342</v>
      </c>
      <c r="J53" s="80" t="n">
        <f aca="false">'Cash Flow'!AA30</f>
        <v>1958900</v>
      </c>
      <c r="K53" s="80" t="n">
        <f aca="false">'Cash Flow'!AA32</f>
        <v>2303725</v>
      </c>
      <c r="L53" s="80" t="n">
        <f aca="false">'Cash Flow'!AA33</f>
        <v>1541690</v>
      </c>
    </row>
    <row r="54" customFormat="false" ht="12.75" hidden="false" customHeight="true" outlineLevel="0" collapsed="false">
      <c r="I54" s="79" t="s">
        <v>343</v>
      </c>
      <c r="J54" s="80" t="n">
        <f aca="false">'Cash Flow'!AB30</f>
        <v>2193000</v>
      </c>
      <c r="K54" s="80" t="n">
        <f aca="false">'Cash Flow'!AB32</f>
        <v>2595290</v>
      </c>
      <c r="L54" s="80" t="n">
        <f aca="false">'Cash Flow'!AB33</f>
        <v>1713855</v>
      </c>
    </row>
    <row r="55" customFormat="false" ht="15.75" hidden="false" customHeight="true" outlineLevel="0" collapsed="false">
      <c r="B55" s="4" t="s">
        <v>492</v>
      </c>
      <c r="C55" s="4"/>
      <c r="D55" s="4"/>
      <c r="E55" s="4"/>
      <c r="F55" s="4"/>
      <c r="G55" s="4"/>
    </row>
  </sheetData>
  <mergeCells count="5">
    <mergeCell ref="B1:G1"/>
    <mergeCell ref="B2:G2"/>
    <mergeCell ref="B10:G10"/>
    <mergeCell ref="B21:G21"/>
    <mergeCell ref="B55:G5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2026-05-06T15:44:41Z</dcterms:created>
  <dc:creator>openpyxl</dc:creator>
  <dc:description/>
  <dc:language>en-US</dc:language>
  <cp:lastModifiedBy/>
  <dcterms:modified xsi:type="dcterms:W3CDTF">2026-05-07T19:39:57Z</dcterms:modified>
  <cp:revision>8</cp:revision>
  <dc:subject/>
  <dc:title/>
</cp:coreProperties>
</file>

<file path=docProps/custom.xml><?xml version="1.0" encoding="utf-8"?>
<Properties xmlns="http://schemas.openxmlformats.org/officeDocument/2006/custom-properties" xmlns:vt="http://schemas.openxmlformats.org/officeDocument/2006/docPropsVTypes"/>
</file>